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845" windowHeight="5175"/>
  </bookViews>
  <sheets>
    <sheet name="1. 요금제계산" sheetId="1" r:id="rId1"/>
    <sheet name="2. 부가서비스판정" sheetId="5" r:id="rId2"/>
    <sheet name="3. 스마트폰요금제" sheetId="6" r:id="rId3"/>
  </sheets>
  <calcPr calcId="125725"/>
</workbook>
</file>

<file path=xl/calcChain.xml><?xml version="1.0" encoding="utf-8"?>
<calcChain xmlns="http://schemas.openxmlformats.org/spreadsheetml/2006/main">
  <c r="K13" i="6"/>
  <c r="K14"/>
  <c r="K15"/>
  <c r="K16"/>
  <c r="K17"/>
  <c r="K12"/>
  <c r="H13"/>
  <c r="H14"/>
  <c r="H15"/>
  <c r="H16"/>
  <c r="H17"/>
  <c r="H12"/>
  <c r="J17"/>
  <c r="I17"/>
  <c r="J16"/>
  <c r="I16"/>
  <c r="J15"/>
  <c r="I15"/>
  <c r="J14"/>
  <c r="I14"/>
  <c r="J13"/>
  <c r="I13"/>
  <c r="J12"/>
  <c r="I12"/>
  <c r="I5"/>
  <c r="H5"/>
  <c r="H4"/>
  <c r="C53" i="5"/>
  <c r="H56" s="1"/>
  <c r="E50"/>
  <c r="E49"/>
  <c r="E48"/>
  <c r="D32"/>
  <c r="D31"/>
  <c r="F16"/>
  <c r="F15"/>
  <c r="F14"/>
  <c r="H9"/>
  <c r="G9"/>
  <c r="L14" s="1"/>
  <c r="F9"/>
  <c r="E9"/>
  <c r="D9"/>
  <c r="A9"/>
  <c r="L48" i="1"/>
  <c r="K48"/>
  <c r="I48"/>
  <c r="J48" s="1"/>
  <c r="I39"/>
  <c r="J39" s="1"/>
  <c r="K39"/>
  <c r="L39"/>
  <c r="I40"/>
  <c r="J40" s="1"/>
  <c r="K40"/>
  <c r="L40"/>
  <c r="I41"/>
  <c r="J41" s="1"/>
  <c r="K41"/>
  <c r="L41"/>
  <c r="I42"/>
  <c r="J42" s="1"/>
  <c r="K42"/>
  <c r="L42"/>
  <c r="I43"/>
  <c r="J43" s="1"/>
  <c r="K43"/>
  <c r="L43"/>
  <c r="I44"/>
  <c r="J44" s="1"/>
  <c r="K44"/>
  <c r="L44"/>
  <c r="I45"/>
  <c r="J45" s="1"/>
  <c r="K45"/>
  <c r="L45"/>
  <c r="I46"/>
  <c r="J46" s="1"/>
  <c r="K46"/>
  <c r="L46"/>
  <c r="I50"/>
  <c r="J50" s="1"/>
  <c r="K50"/>
  <c r="L50"/>
  <c r="I52"/>
  <c r="J52" s="1"/>
  <c r="K52"/>
  <c r="L52"/>
  <c r="I53"/>
  <c r="J53" s="1"/>
  <c r="K53"/>
  <c r="L53"/>
  <c r="L38"/>
  <c r="K38"/>
  <c r="H10"/>
  <c r="I38"/>
  <c r="J38" s="1"/>
  <c r="H11"/>
  <c r="I11"/>
  <c r="L17" i="6" l="1"/>
  <c r="L15"/>
  <c r="L13"/>
  <c r="N12"/>
  <c r="L16"/>
  <c r="L14"/>
  <c r="N17"/>
  <c r="O16"/>
  <c r="M16"/>
  <c r="N15"/>
  <c r="O14"/>
  <c r="M14"/>
  <c r="N13"/>
  <c r="O17"/>
  <c r="M17"/>
  <c r="N16"/>
  <c r="O15"/>
  <c r="M15"/>
  <c r="N14"/>
  <c r="O13"/>
  <c r="M13"/>
  <c r="M12"/>
  <c r="O12"/>
  <c r="L12"/>
  <c r="D33" i="5"/>
  <c r="D34" s="1"/>
  <c r="F48"/>
  <c r="L18"/>
  <c r="H18"/>
  <c r="K18"/>
  <c r="I18"/>
  <c r="I13"/>
  <c r="H19"/>
  <c r="H17"/>
  <c r="I16"/>
  <c r="I15"/>
  <c r="H14"/>
  <c r="L13"/>
  <c r="K19"/>
  <c r="K17"/>
  <c r="L16"/>
  <c r="L15"/>
  <c r="K14"/>
  <c r="M14" s="1"/>
  <c r="H13"/>
  <c r="J13" s="1"/>
  <c r="I19"/>
  <c r="J19" s="1"/>
  <c r="I17"/>
  <c r="J17" s="1"/>
  <c r="H16"/>
  <c r="J16" s="1"/>
  <c r="H15"/>
  <c r="I14"/>
  <c r="K13"/>
  <c r="M13" s="1"/>
  <c r="L19"/>
  <c r="L17"/>
  <c r="M17" s="1"/>
  <c r="K16"/>
  <c r="K15"/>
  <c r="H55"/>
  <c r="D56"/>
  <c r="E56" s="1"/>
  <c r="G56" s="1"/>
  <c r="D55"/>
  <c r="E55" s="1"/>
  <c r="G55" s="1"/>
  <c r="M48" i="1"/>
  <c r="N48" s="1"/>
  <c r="M52"/>
  <c r="N52" s="1"/>
  <c r="M46"/>
  <c r="N46" s="1"/>
  <c r="M44"/>
  <c r="N44" s="1"/>
  <c r="M42"/>
  <c r="N42" s="1"/>
  <c r="M40"/>
  <c r="N40" s="1"/>
  <c r="M53"/>
  <c r="N53" s="1"/>
  <c r="M45"/>
  <c r="N45" s="1"/>
  <c r="M43"/>
  <c r="N43" s="1"/>
  <c r="M41"/>
  <c r="N41" s="1"/>
  <c r="M39"/>
  <c r="N39" s="1"/>
  <c r="M50"/>
  <c r="N50" s="1"/>
  <c r="M38"/>
  <c r="N38" s="1"/>
  <c r="N18" i="6" l="1"/>
  <c r="L18"/>
  <c r="A14"/>
  <c r="A16"/>
  <c r="A12"/>
  <c r="M18"/>
  <c r="O18"/>
  <c r="A13"/>
  <c r="A15"/>
  <c r="A17"/>
  <c r="I56" i="5"/>
  <c r="J56"/>
  <c r="I55"/>
  <c r="J55"/>
  <c r="H39"/>
  <c r="H40"/>
  <c r="D39"/>
  <c r="E39" s="1"/>
  <c r="D40"/>
  <c r="E40" s="1"/>
  <c r="M16"/>
  <c r="M19"/>
  <c r="J18"/>
  <c r="J15"/>
  <c r="M15"/>
  <c r="J14"/>
  <c r="M18"/>
  <c r="A40" i="1"/>
  <c r="A42"/>
  <c r="A44"/>
  <c r="A46"/>
  <c r="A39"/>
  <c r="A41"/>
  <c r="A43"/>
  <c r="A45"/>
  <c r="A38"/>
  <c r="G40" i="5" l="1"/>
  <c r="I40" s="1"/>
  <c r="G39"/>
  <c r="I39" s="1"/>
  <c r="J40" l="1"/>
  <c r="J39"/>
</calcChain>
</file>

<file path=xl/sharedStrings.xml><?xml version="1.0" encoding="utf-8"?>
<sst xmlns="http://schemas.openxmlformats.org/spreadsheetml/2006/main" count="179" uniqueCount="142">
  <si>
    <t>통화료</t>
    <phoneticPr fontId="2" type="noConversion"/>
  </si>
  <si>
    <t>제목</t>
    <phoneticPr fontId="2" type="noConversion"/>
  </si>
  <si>
    <t>작성자</t>
    <phoneticPr fontId="2" type="noConversion"/>
  </si>
  <si>
    <t>블로그</t>
    <phoneticPr fontId="2" type="noConversion"/>
  </si>
  <si>
    <t>원문주소</t>
    <phoneticPr fontId="2" type="noConversion"/>
  </si>
  <si>
    <t>도움말</t>
    <phoneticPr fontId="2" type="noConversion"/>
  </si>
  <si>
    <t>KT SHOW 휴대폰 요금 절약하기</t>
    <phoneticPr fontId="2" type="noConversion"/>
  </si>
  <si>
    <t>노란색</t>
    <phoneticPr fontId="2" type="noConversion"/>
  </si>
  <si>
    <t>요금제</t>
    <phoneticPr fontId="2" type="noConversion"/>
  </si>
  <si>
    <t>SHOW무료이월200요금</t>
    <phoneticPr fontId="2" type="noConversion"/>
  </si>
  <si>
    <t>SHOW무료이월400요금</t>
    <phoneticPr fontId="2" type="noConversion"/>
  </si>
  <si>
    <t>SHOW무료이월600요금</t>
  </si>
  <si>
    <t>SHOW무료이월800요금</t>
  </si>
  <si>
    <t>기본료</t>
    <phoneticPr fontId="2" type="noConversion"/>
  </si>
  <si>
    <t>국내음성통화(10초당)</t>
    <phoneticPr fontId="2" type="noConversion"/>
  </si>
  <si>
    <t>분</t>
    <phoneticPr fontId="2" type="noConversion"/>
  </si>
  <si>
    <t>대 (미결합시 0입력)</t>
    <phoneticPr fontId="2" type="noConversion"/>
  </si>
  <si>
    <t xml:space="preserve">월 평균 문자메시지 사용건수: </t>
    <phoneticPr fontId="2" type="noConversion"/>
  </si>
  <si>
    <t>건</t>
    <phoneticPr fontId="2" type="noConversion"/>
  </si>
  <si>
    <t>문자료</t>
    <phoneticPr fontId="2" type="noConversion"/>
  </si>
  <si>
    <t>무료통화(분)</t>
    <phoneticPr fontId="2" type="noConversion"/>
  </si>
  <si>
    <t>요금합계</t>
    <phoneticPr fontId="2" type="noConversion"/>
  </si>
  <si>
    <t>VAT 포함</t>
    <phoneticPr fontId="2" type="noConversion"/>
  </si>
  <si>
    <t>SHOW무료이월30시간요금</t>
    <phoneticPr fontId="2" type="noConversion"/>
  </si>
  <si>
    <t>본인 정보 입력</t>
    <phoneticPr fontId="2" type="noConversion"/>
  </si>
  <si>
    <t xml:space="preserve">SHOW 휴대폰 결합대수: </t>
    <phoneticPr fontId="2" type="noConversion"/>
  </si>
  <si>
    <t xml:space="preserve">본인의 월 평균 통화시간: </t>
    <phoneticPr fontId="2" type="noConversion"/>
  </si>
  <si>
    <t>본인이 어느 요금제를 이용하는 것이 저렴한지를 계산하는 맞춤 계산기입니다.</t>
    <phoneticPr fontId="2" type="noConversion"/>
  </si>
  <si>
    <t>무료문자(건)</t>
    <phoneticPr fontId="2" type="noConversion"/>
  </si>
  <si>
    <t>무료제공문자</t>
    <phoneticPr fontId="2" type="noConversion"/>
  </si>
  <si>
    <t>SHOW표준</t>
    <phoneticPr fontId="2" type="noConversion"/>
  </si>
  <si>
    <t>↓↓</t>
    <phoneticPr fontId="2" type="noConversion"/>
  </si>
  <si>
    <t>↓↓</t>
    <phoneticPr fontId="2" type="noConversion"/>
  </si>
  <si>
    <t>SHOW슬림</t>
    <phoneticPr fontId="2" type="noConversion"/>
  </si>
  <si>
    <t>SHOW문자사랑600</t>
    <phoneticPr fontId="2" type="noConversion"/>
  </si>
  <si>
    <t>SHOW문자사랑1200</t>
    <phoneticPr fontId="2" type="noConversion"/>
  </si>
  <si>
    <t>SHOW야간할인</t>
    <phoneticPr fontId="2" type="noConversion"/>
  </si>
  <si>
    <t>SHOW지정번호할인</t>
    <phoneticPr fontId="2" type="noConversion"/>
  </si>
  <si>
    <t>[10초 18원, 할인시간대(21:00~09:00) 국내음성통화료 50%할인(9원)]</t>
    <phoneticPr fontId="2" type="noConversion"/>
  </si>
  <si>
    <t>SHOW캠퍼스존할인요금</t>
    <phoneticPr fontId="2" type="noConversion"/>
  </si>
  <si>
    <t>SHOW더블캠퍼스존할인요금</t>
    <phoneticPr fontId="2" type="noConversion"/>
  </si>
  <si>
    <t>[할인지역 1곳 지정(더블캠퍼스존은 2곳), 할인지역 외 10초당 18원]</t>
    <phoneticPr fontId="2" type="noConversion"/>
  </si>
  <si>
    <t>추천여부</t>
    <phoneticPr fontId="2" type="noConversion"/>
  </si>
  <si>
    <t>결합할인 적용 후 기본료</t>
    <phoneticPr fontId="2" type="noConversion"/>
  </si>
  <si>
    <t>기본료 할인혜택 (결합할인)</t>
    <phoneticPr fontId="2" type="noConversion"/>
  </si>
  <si>
    <t>아래는 특수요금제 주1)</t>
    <phoneticPr fontId="2" type="noConversion"/>
  </si>
  <si>
    <t>신청, 변경, 조회 메뉴의 "통화" 메뉴 클릭</t>
    <phoneticPr fontId="2" type="noConversion"/>
  </si>
  <si>
    <t>※ 본인의 통화시간과 문자메시지 사용 건수를 잘 모르겠다면, SHOW 사이버 고객센터 로그인 후</t>
    <phoneticPr fontId="2" type="noConversion"/>
  </si>
  <si>
    <t xml:space="preserve">주소: </t>
    <phoneticPr fontId="2" type="noConversion"/>
  </si>
  <si>
    <t>http://cs.show.co.kr/</t>
    <phoneticPr fontId="2" type="noConversion"/>
  </si>
  <si>
    <t xml:space="preserve">   계산 결과가 아래에 출력됩니다.</t>
  </si>
  <si>
    <t>(배포가능, 수정불가)</t>
    <phoneticPr fontId="2" type="noConversion"/>
  </si>
  <si>
    <t>대표적인 요금제만 포함되어 있습니다. 3G 요금제 기준입니다.</t>
    <phoneticPr fontId="2" type="noConversion"/>
  </si>
  <si>
    <t>건다면,</t>
    <phoneticPr fontId="2" type="noConversion"/>
  </si>
  <si>
    <t>2. 부가서비스 적합도 평가</t>
    <phoneticPr fontId="2" type="noConversion"/>
  </si>
  <si>
    <t>기본요금</t>
    <phoneticPr fontId="2" type="noConversion"/>
  </si>
  <si>
    <t>무료제공문자건수</t>
    <phoneticPr fontId="2" type="noConversion"/>
  </si>
  <si>
    <t>주1) 특수요금제는 무조건 할인받는다고 가정하여 계산하였으므로 실제와 다를 수 있습니다.</t>
    <phoneticPr fontId="2" type="noConversion"/>
  </si>
  <si>
    <t>1. 요금제별 계산 (결합할인, 무료통화, 무료문자 반영)</t>
    <phoneticPr fontId="2" type="noConversion"/>
  </si>
  <si>
    <t>[10초 18원, 지정번호 통화시 40%할인(10.8원), 지정번호 6개까지 지정 가능]</t>
    <phoneticPr fontId="2" type="noConversion"/>
  </si>
  <si>
    <t>전국민할인요금</t>
    <phoneticPr fontId="2" type="noConversion"/>
  </si>
  <si>
    <t>KT패밀리50%할인요금</t>
    <phoneticPr fontId="2" type="noConversion"/>
  </si>
  <si>
    <t>합산</t>
    <phoneticPr fontId="2" type="noConversion"/>
  </si>
  <si>
    <t>만약,</t>
    <phoneticPr fontId="2" type="noConversion"/>
  </si>
  <si>
    <t xml:space="preserve">  전국민할인요금: 모든 이동통신사외의 국내 음성/영상통화료 30%할인</t>
    <phoneticPr fontId="2" type="noConversion"/>
  </si>
  <si>
    <t xml:space="preserve">  KT패밀리50%할인요금: KT망 내 국내 음성/영상통화료 50%할인</t>
    <phoneticPr fontId="2" type="noConversion"/>
  </si>
  <si>
    <t>KT에 37.5%, 타사에 62.5%를 사용할 때 두 부가서비스의 혜택이 동일하다.</t>
    <phoneticPr fontId="2" type="noConversion"/>
  </si>
  <si>
    <t>KT에 37.5%보다 더 많이 건다면 KT패밀리50%할인요금제가 더 유리하며,</t>
    <phoneticPr fontId="2" type="noConversion"/>
  </si>
  <si>
    <t>타사에 62.5%보다 더 많이 건다면 전국민할인요금제가 더 유리하다.</t>
    <phoneticPr fontId="2" type="noConversion"/>
  </si>
  <si>
    <t>참고</t>
    <phoneticPr fontId="2" type="noConversion"/>
  </si>
  <si>
    <t xml:space="preserve">   ← 입력하면 아래 표에 계산 결과가 나타납니다.</t>
    <phoneticPr fontId="2" type="noConversion"/>
  </si>
  <si>
    <t>앞에서 적절한 요금제를 선택하였습니까? 선택한 요금제의 정보를 입력하십시오.</t>
    <phoneticPr fontId="2" type="noConversion"/>
  </si>
  <si>
    <t>KT에</t>
    <phoneticPr fontId="2" type="noConversion"/>
  </si>
  <si>
    <t>타사 이동통신에</t>
    <phoneticPr fontId="2" type="noConversion"/>
  </si>
  <si>
    <t xml:space="preserve">월 평균 문자메시지 이용량: </t>
    <phoneticPr fontId="2" type="noConversion"/>
  </si>
  <si>
    <t>1) 통화료 정액형 부가서비스</t>
    <phoneticPr fontId="2" type="noConversion"/>
  </si>
  <si>
    <t>2) 문자메시지 정액형 부가서비스</t>
    <phoneticPr fontId="2" type="noConversion"/>
  </si>
  <si>
    <t xml:space="preserve">문자메시지 무료 제공량: </t>
    <phoneticPr fontId="2" type="noConversion"/>
  </si>
  <si>
    <t>SHOW문자이월250</t>
    <phoneticPr fontId="2" type="noConversion"/>
  </si>
  <si>
    <t>SHOW문자이월500</t>
    <phoneticPr fontId="2" type="noConversion"/>
  </si>
  <si>
    <t>무료제공(건)</t>
    <phoneticPr fontId="2" type="noConversion"/>
  </si>
  <si>
    <t>손익여부</t>
    <phoneticPr fontId="2" type="noConversion"/>
  </si>
  <si>
    <t xml:space="preserve">유료로 이용하는 문자메시지 건수: </t>
    <phoneticPr fontId="2" type="noConversion"/>
  </si>
  <si>
    <t xml:space="preserve">총 문자메시지 이용료: </t>
    <phoneticPr fontId="2" type="noConversion"/>
  </si>
  <si>
    <t>부가서비스</t>
    <phoneticPr fontId="2" type="noConversion"/>
  </si>
  <si>
    <t>전송건수</t>
    <phoneticPr fontId="2" type="noConversion"/>
  </si>
  <si>
    <t>요금(건당)</t>
    <phoneticPr fontId="2" type="noConversion"/>
  </si>
  <si>
    <t>요금</t>
    <phoneticPr fontId="2" type="noConversion"/>
  </si>
  <si>
    <t>합</t>
    <phoneticPr fontId="2" type="noConversion"/>
  </si>
  <si>
    <t xml:space="preserve">단문메시지(SMS) </t>
    <phoneticPr fontId="2" type="noConversion"/>
  </si>
  <si>
    <t xml:space="preserve">장문메시지(LMS) </t>
    <phoneticPr fontId="2" type="noConversion"/>
  </si>
  <si>
    <t xml:space="preserve">멀티메시지(MMS) </t>
    <phoneticPr fontId="2" type="noConversion"/>
  </si>
  <si>
    <t>원 (단문메시지만 전송한다고 가정)</t>
    <phoneticPr fontId="2" type="noConversion"/>
  </si>
  <si>
    <t>↓↓↓ SHOW문자이월 요금제를 이용한다면 ↓↓↓</t>
    <phoneticPr fontId="2" type="noConversion"/>
  </si>
  <si>
    <t xml:space="preserve">총 건수: </t>
    <phoneticPr fontId="2" type="noConversion"/>
  </si>
  <si>
    <t>잔여건수</t>
    <phoneticPr fontId="2" type="noConversion"/>
  </si>
  <si>
    <t>부족건수</t>
    <phoneticPr fontId="2" type="noConversion"/>
  </si>
  <si>
    <t>부족분 추가전송료</t>
    <phoneticPr fontId="2" type="noConversion"/>
  </si>
  <si>
    <t>할인혜택</t>
    <phoneticPr fontId="2" type="noConversion"/>
  </si>
  <si>
    <t>(합산이 작을수록 좋음)</t>
    <phoneticPr fontId="2" type="noConversion"/>
  </si>
  <si>
    <t>계산해보기)</t>
    <phoneticPr fontId="2" type="noConversion"/>
  </si>
  <si>
    <t>(부족건수는 모두 단문메시지로 전송한다고 가정)</t>
    <phoneticPr fontId="2" type="noConversion"/>
  </si>
  <si>
    <t>문자 정액형 부가서비스를 이용하는 것이 좋은지 확인하기 위해 아래 표를 참고합니다.</t>
    <phoneticPr fontId="2" type="noConversion"/>
  </si>
  <si>
    <t>※ SHOW문자이월 요금제는 단문메시지 뿐만 아니라 장문메시지, 멀티메일 전송도 포함됩니다.</t>
    <phoneticPr fontId="2" type="noConversion"/>
  </si>
  <si>
    <t>따라서 다른 조건을 모두 무시하고 문자메시지 개수만 고려하고 싶다면 아래 표를 이용해 계산해봅니다.</t>
    <phoneticPr fontId="2" type="noConversion"/>
  </si>
  <si>
    <t>3. 스마트폰 요금제</t>
    <phoneticPr fontId="2" type="noConversion"/>
  </si>
  <si>
    <t>i-슬림</t>
    <phoneticPr fontId="2" type="noConversion"/>
  </si>
  <si>
    <t>i-라이트</t>
    <phoneticPr fontId="2" type="noConversion"/>
  </si>
  <si>
    <t>i-미디엄</t>
    <phoneticPr fontId="2" type="noConversion"/>
  </si>
  <si>
    <t>i-스페셜</t>
    <phoneticPr fontId="2" type="noConversion"/>
  </si>
  <si>
    <t>i-프리미엄</t>
    <phoneticPr fontId="2" type="noConversion"/>
  </si>
  <si>
    <t>i-토크</t>
    <phoneticPr fontId="2" type="noConversion"/>
  </si>
  <si>
    <t>무료데이터(MB)</t>
    <phoneticPr fontId="2" type="noConversion"/>
  </si>
  <si>
    <t xml:space="preserve">데이터 전송량: </t>
    <phoneticPr fontId="2" type="noConversion"/>
  </si>
  <si>
    <t>MB</t>
    <phoneticPr fontId="2" type="noConversion"/>
  </si>
  <si>
    <t>주1) 추가패킷요금은 0.5KB당 0.025원입니다. (1MB당 약51원)</t>
    <phoneticPr fontId="2" type="noConversion"/>
  </si>
  <si>
    <t>건 ('요금제계산' 시트에 입력한 자료)</t>
    <phoneticPr fontId="2" type="noConversion"/>
  </si>
  <si>
    <t>건 (현재 시트 상단에서 입력한 자료)</t>
    <phoneticPr fontId="2" type="noConversion"/>
  </si>
  <si>
    <t>SHOW스마트100</t>
    <phoneticPr fontId="2" type="noConversion"/>
  </si>
  <si>
    <t>SHOW스마트500</t>
    <phoneticPr fontId="2" type="noConversion"/>
  </si>
  <si>
    <t>SHOW스마트1000</t>
    <phoneticPr fontId="2" type="noConversion"/>
  </si>
  <si>
    <t>이용요금</t>
    <phoneticPr fontId="2" type="noConversion"/>
  </si>
  <si>
    <t>추가데이터요금(원/MB)</t>
    <phoneticPr fontId="2" type="noConversion"/>
  </si>
  <si>
    <t>제공데이터(MB)</t>
    <phoneticPr fontId="2" type="noConversion"/>
  </si>
  <si>
    <t>SHOW스마트데이터</t>
    <phoneticPr fontId="2" type="noConversion"/>
  </si>
  <si>
    <t>※ 데이터 부가서비스</t>
    <phoneticPr fontId="2" type="noConversion"/>
  </si>
  <si>
    <t>스마트100 이용</t>
    <phoneticPr fontId="2" type="noConversion"/>
  </si>
  <si>
    <t>스마트500 이용</t>
    <phoneticPr fontId="2" type="noConversion"/>
  </si>
  <si>
    <t>이용하지 않음</t>
    <phoneticPr fontId="2" type="noConversion"/>
  </si>
  <si>
    <t>스마트1000 이용</t>
    <phoneticPr fontId="2" type="noConversion"/>
  </si>
  <si>
    <t>패킷 부족분(MB)</t>
    <phoneticPr fontId="2" type="noConversion"/>
  </si>
  <si>
    <t>고정값 →</t>
    <phoneticPr fontId="2" type="noConversion"/>
  </si>
  <si>
    <t>셀에 값을 입력하면,</t>
    <phoneticPr fontId="2" type="noConversion"/>
  </si>
  <si>
    <t xml:space="preserve">  ※ 값을 입력하세요</t>
    <phoneticPr fontId="2" type="noConversion"/>
  </si>
  <si>
    <t xml:space="preserve"> (문서 전체에서 노란색 셀은 항상 수정가능합니다.)</t>
    <phoneticPr fontId="2" type="noConversion"/>
  </si>
  <si>
    <t>데이터 부가서비스별 요금 합계</t>
    <phoneticPr fontId="2" type="noConversion"/>
  </si>
  <si>
    <t>※ 스마트폰의 경우, 쇼킹스폰서 i형, 스마트스폰서는 결합으로 인한</t>
    <phoneticPr fontId="2" type="noConversion"/>
  </si>
  <si>
    <t>기본료 할인이 적용되지 않습니다.</t>
    <phoneticPr fontId="2" type="noConversion"/>
  </si>
  <si>
    <t>(다만, 쇼킹스폰서 기본형으로 가입한 경우에 한해 가능)</t>
    <phoneticPr fontId="2" type="noConversion"/>
  </si>
  <si>
    <t>http://rlaza.tistory.com</t>
    <phoneticPr fontId="2" type="noConversion"/>
  </si>
  <si>
    <t>http://rlaza.tistory.com/10</t>
    <phoneticPr fontId="2" type="noConversion"/>
  </si>
  <si>
    <t>김콧물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</si>
</sst>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#,##0_ "/>
    <numFmt numFmtId="178" formatCode="#,##0_);[Red]\(#,##0\)"/>
    <numFmt numFmtId="179" formatCode="0.0%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4"/>
      <color theme="1"/>
      <name val="맑은 고딕"/>
      <family val="2"/>
      <charset val="129"/>
      <scheme val="minor"/>
    </font>
    <font>
      <u/>
      <sz val="14"/>
      <color theme="10"/>
      <name val="맑은 고딕"/>
      <family val="3"/>
      <charset val="129"/>
    </font>
    <font>
      <u/>
      <sz val="16"/>
      <color theme="10"/>
      <name val="맑은 고딕"/>
      <family val="3"/>
      <charset val="129"/>
    </font>
    <font>
      <sz val="1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3" tint="0.39997558519241921"/>
      <name val="맑은 고딕"/>
      <family val="2"/>
      <charset val="129"/>
      <scheme val="minor"/>
    </font>
    <font>
      <b/>
      <sz val="11"/>
      <color rgb="FF00B0F0"/>
      <name val="맑은 고딕"/>
      <family val="3"/>
      <charset val="129"/>
      <scheme val="minor"/>
    </font>
    <font>
      <sz val="11"/>
      <color theme="0" tint="-0.499984740745262"/>
      <name val="맑은 고딕"/>
      <family val="2"/>
      <charset val="129"/>
      <scheme val="minor"/>
    </font>
    <font>
      <b/>
      <sz val="11"/>
      <color theme="3" tint="0.39997558519241921"/>
      <name val="맑은 고딕"/>
      <family val="3"/>
      <charset val="129"/>
      <scheme val="minor"/>
    </font>
    <font>
      <b/>
      <sz val="11"/>
      <color theme="3" tint="-0.249977111117893"/>
      <name val="맑은 고딕"/>
      <family val="3"/>
      <charset val="129"/>
      <scheme val="minor"/>
    </font>
    <font>
      <b/>
      <sz val="14"/>
      <color theme="3" tint="-0.249977111117893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rgb="FFFFFF00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11"/>
      <color theme="4" tint="-0.249977111117893"/>
      <name val="맑은 고딕"/>
      <family val="3"/>
      <charset val="129"/>
      <scheme val="minor"/>
    </font>
    <font>
      <b/>
      <sz val="11"/>
      <color theme="5" tint="-0.249977111117893"/>
      <name val="맑은 고딕"/>
      <family val="3"/>
      <charset val="129"/>
      <scheme val="minor"/>
    </font>
    <font>
      <b/>
      <sz val="11"/>
      <color theme="6" tint="-0.499984740745262"/>
      <name val="맑은 고딕"/>
      <family val="3"/>
      <charset val="129"/>
      <scheme val="minor"/>
    </font>
    <font>
      <b/>
      <sz val="11"/>
      <color rgb="FF00B05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theme="9" tint="-0.499984740745262"/>
      </top>
      <bottom/>
      <diagonal/>
    </border>
    <border>
      <left/>
      <right style="mediumDashDotDot">
        <color auto="1"/>
      </right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mediumDashDotDot">
        <color auto="1"/>
      </right>
      <top/>
      <bottom style="thin">
        <color theme="9" tint="-0.499984740745262"/>
      </bottom>
      <diagonal/>
    </border>
    <border>
      <left style="mediumDashDotDot">
        <color auto="1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double">
        <color auto="1"/>
      </right>
      <top style="thin">
        <color theme="3" tint="-0.499984740745262"/>
      </top>
      <bottom/>
      <diagonal/>
    </border>
    <border>
      <left/>
      <right style="thin">
        <color auto="1"/>
      </right>
      <top style="thin">
        <color theme="3" tint="-0.499984740745262"/>
      </top>
      <bottom/>
      <diagonal/>
    </border>
    <border>
      <left style="mediumDashDotDot">
        <color auto="1"/>
      </left>
      <right/>
      <top/>
      <bottom/>
      <diagonal/>
    </border>
    <border>
      <left style="mediumDashDotDot">
        <color auto="1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double">
        <color auto="1"/>
      </right>
      <top/>
      <bottom style="thin">
        <color theme="3" tint="-0.499984740745262"/>
      </bottom>
      <diagonal/>
    </border>
    <border>
      <left/>
      <right style="thin">
        <color auto="1"/>
      </right>
      <top/>
      <bottom style="thin">
        <color theme="3" tint="-0.499984740745262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DashDotDot">
        <color auto="1"/>
      </right>
      <top style="medium">
        <color theme="9" tint="0.39994506668294322"/>
      </top>
      <bottom style="medium">
        <color theme="9" tint="-0.499984740745262"/>
      </bottom>
      <diagonal/>
    </border>
    <border>
      <left/>
      <right/>
      <top style="medium">
        <color theme="9" tint="0.39994506668294322"/>
      </top>
      <bottom style="medium">
        <color theme="9" tint="-0.499984740745262"/>
      </bottom>
      <diagonal/>
    </border>
    <border>
      <left style="mediumDashDotDot">
        <color auto="1"/>
      </left>
      <right/>
      <top style="medium">
        <color theme="3" tint="0.79998168889431442"/>
      </top>
      <bottom style="medium">
        <color theme="4" tint="-0.24994659260841701"/>
      </bottom>
      <diagonal/>
    </border>
    <border>
      <left/>
      <right/>
      <top style="medium">
        <color theme="3" tint="0.79998168889431442"/>
      </top>
      <bottom style="medium">
        <color theme="4" tint="-0.24994659260841701"/>
      </bottom>
      <diagonal/>
    </border>
    <border>
      <left/>
      <right style="double">
        <color auto="1"/>
      </right>
      <top style="medium">
        <color theme="3" tint="0.79998168889431442"/>
      </top>
      <bottom style="medium">
        <color theme="4" tint="-0.24994659260841701"/>
      </bottom>
      <diagonal/>
    </border>
    <border>
      <left/>
      <right style="thin">
        <color auto="1"/>
      </right>
      <top style="medium">
        <color theme="3" tint="0.79998168889431442"/>
      </top>
      <bottom style="medium">
        <color theme="4" tint="-0.24994659260841701"/>
      </bottom>
      <diagonal/>
    </border>
    <border>
      <left style="thin">
        <color auto="1"/>
      </left>
      <right style="medium">
        <color theme="4" tint="-0.24994659260841701"/>
      </right>
      <top style="medium">
        <color theme="3" tint="0.79998168889431442"/>
      </top>
      <bottom style="medium">
        <color theme="4" tint="-0.24994659260841701"/>
      </bottom>
      <diagonal/>
    </border>
    <border>
      <left style="mediumDashDotDot">
        <color auto="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double">
        <color auto="1"/>
      </right>
      <top style="medium">
        <color theme="4" tint="-0.24994659260841701"/>
      </top>
      <bottom/>
      <diagonal/>
    </border>
    <border>
      <left/>
      <right style="thin">
        <color auto="1"/>
      </right>
      <top style="medium">
        <color theme="4" tint="-0.24994659260841701"/>
      </top>
      <bottom/>
      <diagonal/>
    </border>
    <border>
      <left style="thin">
        <color auto="1"/>
      </left>
      <right style="medium">
        <color theme="3" tint="0.59996337778862885"/>
      </right>
      <top style="medium">
        <color theme="4" tint="-0.24994659260841701"/>
      </top>
      <bottom/>
      <diagonal/>
    </border>
    <border>
      <left style="thin">
        <color auto="1"/>
      </left>
      <right style="medium">
        <color theme="3" tint="0.59996337778862885"/>
      </right>
      <top/>
      <bottom/>
      <diagonal/>
    </border>
    <border>
      <left style="thin">
        <color auto="1"/>
      </left>
      <right style="medium">
        <color theme="3" tint="0.59996337778862885"/>
      </right>
      <top style="thin">
        <color theme="3" tint="-0.499984740745262"/>
      </top>
      <bottom/>
      <diagonal/>
    </border>
    <border>
      <left style="thin">
        <color auto="1"/>
      </left>
      <right style="medium">
        <color theme="3" tint="0.59996337778862885"/>
      </right>
      <top/>
      <bottom style="thin">
        <color theme="3" tint="-0.499984740745262"/>
      </bottom>
      <diagonal/>
    </border>
    <border>
      <left/>
      <right style="medium">
        <color theme="3" tint="0.59996337778862885"/>
      </right>
      <top/>
      <bottom/>
      <diagonal/>
    </border>
    <border>
      <left style="mediumDashDotDot">
        <color auto="1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double">
        <color auto="1"/>
      </right>
      <top/>
      <bottom style="medium">
        <color theme="3" tint="0.59996337778862885"/>
      </bottom>
      <diagonal/>
    </border>
    <border>
      <left/>
      <right style="thin">
        <color auto="1"/>
      </right>
      <top/>
      <bottom style="medium">
        <color theme="3" tint="0.59996337778862885"/>
      </bottom>
      <diagonal/>
    </border>
    <border>
      <left style="thin">
        <color auto="1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DashDotDot">
        <color auto="1"/>
      </right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499984740745262"/>
      </right>
      <top style="thin">
        <color auto="1"/>
      </top>
      <bottom/>
      <diagonal/>
    </border>
    <border>
      <left style="thin">
        <color auto="1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auto="1"/>
      </left>
      <right/>
      <top/>
      <bottom style="medium">
        <color theme="9" tint="-0.499984740745262"/>
      </bottom>
      <diagonal/>
    </border>
    <border>
      <left/>
      <right/>
      <top style="thin">
        <color auto="1"/>
      </top>
      <bottom style="medium">
        <color theme="9" tint="-0.499984740745262"/>
      </bottom>
      <diagonal/>
    </border>
    <border>
      <left style="thin">
        <color auto="1"/>
      </left>
      <right style="medium">
        <color theme="9" tint="-0.499984740745262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medium">
        <color theme="9" tint="-0.499984740745262"/>
      </bottom>
      <diagonal/>
    </border>
    <border>
      <left style="double">
        <color auto="1"/>
      </left>
      <right/>
      <top style="medium">
        <color theme="4" tint="-0.2499465926084170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double">
        <color auto="1"/>
      </left>
      <right/>
      <top/>
      <bottom style="medium">
        <color theme="4" tint="-0.24994659260841701"/>
      </bottom>
      <diagonal/>
    </border>
    <border>
      <left style="double">
        <color auto="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double">
        <color auto="1"/>
      </right>
      <top/>
      <bottom style="medium">
        <color theme="3" tint="-0.2499465926084170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>
      <alignment vertical="center"/>
    </xf>
    <xf numFmtId="0" fontId="3" fillId="0" borderId="0" xfId="2" applyAlignment="1" applyProtection="1">
      <alignment vertical="center"/>
    </xf>
    <xf numFmtId="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0" fillId="4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0" fillId="0" borderId="0" xfId="0" applyNumberFormat="1">
      <alignment vertical="center"/>
    </xf>
    <xf numFmtId="0" fontId="10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11" fillId="0" borderId="0" xfId="0" applyFont="1">
      <alignment vertical="center"/>
    </xf>
    <xf numFmtId="177" fontId="0" fillId="0" borderId="0" xfId="0" applyNumberFormat="1" applyAlignment="1">
      <alignment vertical="center"/>
    </xf>
    <xf numFmtId="0" fontId="10" fillId="5" borderId="0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0" fillId="8" borderId="2" xfId="0" applyFill="1" applyBorder="1">
      <alignment vertical="center"/>
    </xf>
    <xf numFmtId="0" fontId="0" fillId="8" borderId="3" xfId="0" applyFill="1" applyBorder="1">
      <alignment vertical="center"/>
    </xf>
    <xf numFmtId="177" fontId="0" fillId="11" borderId="0" xfId="0" applyNumberFormat="1" applyFill="1" applyBorder="1" applyAlignment="1">
      <alignment horizontal="center" vertical="center"/>
    </xf>
    <xf numFmtId="41" fontId="0" fillId="12" borderId="0" xfId="1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176" fontId="0" fillId="12" borderId="0" xfId="0" applyNumberFormat="1" applyFill="1" applyBorder="1" applyAlignment="1">
      <alignment horizontal="center" vertical="center"/>
    </xf>
    <xf numFmtId="177" fontId="0" fillId="12" borderId="0" xfId="0" applyNumberFormat="1" applyFill="1" applyBorder="1" applyAlignment="1">
      <alignment horizontal="center" vertical="center"/>
    </xf>
    <xf numFmtId="177" fontId="0" fillId="8" borderId="0" xfId="0" applyNumberFormat="1" applyFill="1" applyBorder="1">
      <alignment vertical="center"/>
    </xf>
    <xf numFmtId="0" fontId="0" fillId="12" borderId="0" xfId="0" applyFill="1" applyBorder="1" applyAlignment="1">
      <alignment vertical="center"/>
    </xf>
    <xf numFmtId="0" fontId="10" fillId="5" borderId="11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right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0" fillId="10" borderId="7" xfId="0" applyFill="1" applyBorder="1">
      <alignment vertical="center"/>
    </xf>
    <xf numFmtId="0" fontId="0" fillId="10" borderId="8" xfId="0" applyFill="1" applyBorder="1">
      <alignment vertical="center"/>
    </xf>
    <xf numFmtId="0" fontId="10" fillId="5" borderId="17" xfId="0" applyFont="1" applyFill="1" applyBorder="1" applyAlignment="1">
      <alignment horizontal="right" vertical="center"/>
    </xf>
    <xf numFmtId="0" fontId="0" fillId="5" borderId="12" xfId="0" applyFill="1" applyBorder="1">
      <alignment vertical="center"/>
    </xf>
    <xf numFmtId="0" fontId="0" fillId="5" borderId="6" xfId="0" applyFill="1" applyBorder="1">
      <alignment vertical="center"/>
    </xf>
    <xf numFmtId="176" fontId="10" fillId="2" borderId="13" xfId="0" applyNumberFormat="1" applyFont="1" applyFill="1" applyBorder="1">
      <alignment vertical="center"/>
    </xf>
    <xf numFmtId="176" fontId="10" fillId="2" borderId="14" xfId="0" applyNumberFormat="1" applyFont="1" applyFill="1" applyBorder="1">
      <alignment vertical="center"/>
    </xf>
    <xf numFmtId="176" fontId="10" fillId="2" borderId="15" xfId="0" applyNumberFormat="1" applyFont="1" applyFill="1" applyBorder="1">
      <alignment vertical="center"/>
    </xf>
    <xf numFmtId="0" fontId="0" fillId="10" borderId="0" xfId="0" applyFill="1" applyBorder="1">
      <alignment vertical="center"/>
    </xf>
    <xf numFmtId="9" fontId="10" fillId="0" borderId="0" xfId="0" applyNumberFormat="1" applyFont="1" applyAlignment="1">
      <alignment horizontal="right" vertical="center"/>
    </xf>
    <xf numFmtId="177" fontId="0" fillId="8" borderId="0" xfId="0" applyNumberFormat="1" applyFill="1" applyBorder="1" applyAlignment="1">
      <alignment horizontal="center" vertical="center"/>
    </xf>
    <xf numFmtId="177" fontId="0" fillId="8" borderId="21" xfId="0" applyNumberFormat="1" applyFill="1" applyBorder="1">
      <alignment vertical="center"/>
    </xf>
    <xf numFmtId="0" fontId="0" fillId="12" borderId="22" xfId="0" applyFill="1" applyBorder="1" applyAlignment="1">
      <alignment vertical="center"/>
    </xf>
    <xf numFmtId="41" fontId="0" fillId="12" borderId="22" xfId="1" applyFont="1" applyFill="1" applyBorder="1" applyAlignment="1">
      <alignment horizontal="center" vertical="center"/>
    </xf>
    <xf numFmtId="176" fontId="0" fillId="12" borderId="22" xfId="0" applyNumberFormat="1" applyFill="1" applyBorder="1" applyAlignment="1">
      <alignment horizontal="center" vertical="center"/>
    </xf>
    <xf numFmtId="0" fontId="0" fillId="12" borderId="24" xfId="0" applyFill="1" applyBorder="1" applyAlignment="1">
      <alignment vertical="center"/>
    </xf>
    <xf numFmtId="41" fontId="0" fillId="12" borderId="24" xfId="1" applyFont="1" applyFill="1" applyBorder="1" applyAlignment="1">
      <alignment horizontal="center" vertical="center"/>
    </xf>
    <xf numFmtId="176" fontId="0" fillId="12" borderId="24" xfId="0" applyNumberFormat="1" applyFill="1" applyBorder="1" applyAlignment="1">
      <alignment horizontal="center" vertical="center"/>
    </xf>
    <xf numFmtId="0" fontId="15" fillId="12" borderId="0" xfId="0" applyFont="1" applyFill="1" applyBorder="1" applyAlignment="1">
      <alignment vertical="center"/>
    </xf>
    <xf numFmtId="177" fontId="0" fillId="8" borderId="26" xfId="1" applyNumberFormat="1" applyFont="1" applyFill="1" applyBorder="1" applyAlignment="1">
      <alignment horizontal="center" vertical="center"/>
    </xf>
    <xf numFmtId="177" fontId="0" fillId="8" borderId="27" xfId="0" applyNumberFormat="1" applyFill="1" applyBorder="1" applyAlignment="1">
      <alignment horizontal="center" vertical="center"/>
    </xf>
    <xf numFmtId="177" fontId="0" fillId="8" borderId="27" xfId="0" applyNumberFormat="1" applyFill="1" applyBorder="1">
      <alignment vertical="center"/>
    </xf>
    <xf numFmtId="177" fontId="0" fillId="8" borderId="28" xfId="0" applyNumberFormat="1" applyFill="1" applyBorder="1">
      <alignment vertical="center"/>
    </xf>
    <xf numFmtId="177" fontId="0" fillId="8" borderId="30" xfId="1" applyNumberFormat="1" applyFont="1" applyFill="1" applyBorder="1" applyAlignment="1">
      <alignment horizontal="center" vertical="center"/>
    </xf>
    <xf numFmtId="177" fontId="0" fillId="8" borderId="31" xfId="1" applyNumberFormat="1" applyFont="1" applyFill="1" applyBorder="1" applyAlignment="1">
      <alignment horizontal="center" vertical="center"/>
    </xf>
    <xf numFmtId="177" fontId="0" fillId="8" borderId="32" xfId="0" applyNumberFormat="1" applyFill="1" applyBorder="1" applyAlignment="1">
      <alignment horizontal="center" vertical="center"/>
    </xf>
    <xf numFmtId="177" fontId="0" fillId="8" borderId="32" xfId="0" applyNumberFormat="1" applyFill="1" applyBorder="1">
      <alignment vertical="center"/>
    </xf>
    <xf numFmtId="177" fontId="0" fillId="8" borderId="33" xfId="0" applyNumberFormat="1" applyFill="1" applyBorder="1">
      <alignment vertical="center"/>
    </xf>
    <xf numFmtId="0" fontId="0" fillId="4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11" borderId="0" xfId="0" applyFill="1">
      <alignment vertical="center"/>
    </xf>
    <xf numFmtId="0" fontId="0" fillId="4" borderId="37" xfId="0" applyFill="1" applyBorder="1" applyAlignment="1">
      <alignment horizontal="center" vertical="center"/>
    </xf>
    <xf numFmtId="0" fontId="0" fillId="4" borderId="37" xfId="0" applyNumberForma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177" fontId="0" fillId="8" borderId="43" xfId="1" applyNumberFormat="1" applyFont="1" applyFill="1" applyBorder="1" applyAlignment="1">
      <alignment horizontal="center" vertical="center"/>
    </xf>
    <xf numFmtId="177" fontId="0" fillId="8" borderId="44" xfId="0" applyNumberFormat="1" applyFill="1" applyBorder="1" applyAlignment="1">
      <alignment horizontal="center" vertical="center"/>
    </xf>
    <xf numFmtId="177" fontId="0" fillId="8" borderId="44" xfId="0" applyNumberFormat="1" applyFill="1" applyBorder="1">
      <alignment vertical="center"/>
    </xf>
    <xf numFmtId="177" fontId="0" fillId="8" borderId="45" xfId="0" applyNumberFormat="1" applyFill="1" applyBorder="1">
      <alignment vertical="center"/>
    </xf>
    <xf numFmtId="177" fontId="0" fillId="8" borderId="47" xfId="0" applyNumberFormat="1" applyFill="1" applyBorder="1">
      <alignment vertical="center"/>
    </xf>
    <xf numFmtId="177" fontId="0" fillId="8" borderId="48" xfId="0" applyNumberFormat="1" applyFill="1" applyBorder="1">
      <alignment vertical="center"/>
    </xf>
    <xf numFmtId="177" fontId="0" fillId="8" borderId="49" xfId="0" applyNumberFormat="1" applyFill="1" applyBorder="1">
      <alignment vertical="center"/>
    </xf>
    <xf numFmtId="177" fontId="0" fillId="8" borderId="50" xfId="0" applyNumberFormat="1" applyFill="1" applyBorder="1">
      <alignment vertical="center"/>
    </xf>
    <xf numFmtId="177" fontId="0" fillId="8" borderId="52" xfId="1" applyNumberFormat="1" applyFont="1" applyFill="1" applyBorder="1" applyAlignment="1">
      <alignment horizontal="center" vertical="center"/>
    </xf>
    <xf numFmtId="177" fontId="0" fillId="8" borderId="53" xfId="0" applyNumberFormat="1" applyFill="1" applyBorder="1" applyAlignment="1">
      <alignment horizontal="center" vertical="center"/>
    </xf>
    <xf numFmtId="177" fontId="0" fillId="8" borderId="53" xfId="0" applyNumberFormat="1" applyFill="1" applyBorder="1">
      <alignment vertical="center"/>
    </xf>
    <xf numFmtId="177" fontId="0" fillId="8" borderId="54" xfId="0" applyNumberFormat="1" applyFill="1" applyBorder="1">
      <alignment vertical="center"/>
    </xf>
    <xf numFmtId="177" fontId="0" fillId="8" borderId="56" xfId="0" applyNumberFormat="1" applyFill="1" applyBorder="1">
      <alignment vertical="center"/>
    </xf>
    <xf numFmtId="0" fontId="0" fillId="12" borderId="0" xfId="0" applyFill="1" applyBorder="1">
      <alignment vertical="center"/>
    </xf>
    <xf numFmtId="0" fontId="0" fillId="12" borderId="59" xfId="0" applyFill="1" applyBorder="1">
      <alignment vertical="center"/>
    </xf>
    <xf numFmtId="0" fontId="0" fillId="12" borderId="59" xfId="0" applyFill="1" applyBorder="1" applyAlignment="1">
      <alignment vertical="center"/>
    </xf>
    <xf numFmtId="0" fontId="15" fillId="12" borderId="59" xfId="0" applyFont="1" applyFill="1" applyBorder="1" applyAlignment="1">
      <alignment vertical="center"/>
    </xf>
    <xf numFmtId="41" fontId="0" fillId="12" borderId="59" xfId="1" applyFont="1" applyFill="1" applyBorder="1" applyAlignment="1">
      <alignment horizontal="center" vertical="center"/>
    </xf>
    <xf numFmtId="0" fontId="0" fillId="12" borderId="59" xfId="0" applyFill="1" applyBorder="1" applyAlignment="1">
      <alignment horizontal="center" vertical="center"/>
    </xf>
    <xf numFmtId="176" fontId="0" fillId="12" borderId="58" xfId="0" applyNumberFormat="1" applyFill="1" applyBorder="1" applyAlignment="1">
      <alignment horizontal="center" vertical="center"/>
    </xf>
    <xf numFmtId="0" fontId="0" fillId="4" borderId="60" xfId="0" applyFill="1" applyBorder="1">
      <alignment vertical="center"/>
    </xf>
    <xf numFmtId="0" fontId="7" fillId="4" borderId="61" xfId="0" applyFont="1" applyFill="1" applyBorder="1" applyAlignment="1">
      <alignment horizontal="center" vertical="center"/>
    </xf>
    <xf numFmtId="0" fontId="0" fillId="4" borderId="62" xfId="0" applyFill="1" applyBorder="1">
      <alignment vertical="center"/>
    </xf>
    <xf numFmtId="0" fontId="0" fillId="4" borderId="64" xfId="0" applyFill="1" applyBorder="1" applyAlignment="1">
      <alignment horizontal="center" vertical="center"/>
    </xf>
    <xf numFmtId="177" fontId="0" fillId="12" borderId="18" xfId="0" applyNumberFormat="1" applyFill="1" applyBorder="1" applyAlignment="1">
      <alignment horizontal="center" vertical="center"/>
    </xf>
    <xf numFmtId="177" fontId="0" fillId="12" borderId="22" xfId="0" applyNumberFormat="1" applyFill="1" applyBorder="1" applyAlignment="1">
      <alignment horizontal="center" vertical="center"/>
    </xf>
    <xf numFmtId="177" fontId="0" fillId="12" borderId="23" xfId="0" applyNumberFormat="1" applyFill="1" applyBorder="1" applyAlignment="1">
      <alignment horizontal="center" vertical="center"/>
    </xf>
    <xf numFmtId="177" fontId="0" fillId="12" borderId="24" xfId="0" applyNumberFormat="1" applyFill="1" applyBorder="1" applyAlignment="1">
      <alignment horizontal="center" vertical="center"/>
    </xf>
    <xf numFmtId="177" fontId="0" fillId="12" borderId="25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0" fillId="4" borderId="6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177" fontId="10" fillId="8" borderId="46" xfId="0" applyNumberFormat="1" applyFont="1" applyFill="1" applyBorder="1">
      <alignment vertical="center"/>
    </xf>
    <xf numFmtId="177" fontId="10" fillId="8" borderId="20" xfId="0" applyNumberFormat="1" applyFont="1" applyFill="1" applyBorder="1">
      <alignment vertical="center"/>
    </xf>
    <xf numFmtId="177" fontId="10" fillId="8" borderId="29" xfId="0" applyNumberFormat="1" applyFont="1" applyFill="1" applyBorder="1">
      <alignment vertical="center"/>
    </xf>
    <xf numFmtId="177" fontId="10" fillId="8" borderId="34" xfId="0" applyNumberFormat="1" applyFont="1" applyFill="1" applyBorder="1">
      <alignment vertical="center"/>
    </xf>
    <xf numFmtId="177" fontId="10" fillId="8" borderId="55" xfId="0" applyNumberFormat="1" applyFont="1" applyFill="1" applyBorder="1">
      <alignment vertical="center"/>
    </xf>
    <xf numFmtId="0" fontId="21" fillId="0" borderId="0" xfId="0" applyFont="1" applyAlignment="1">
      <alignment vertical="center"/>
    </xf>
    <xf numFmtId="0" fontId="11" fillId="12" borderId="5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4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9" borderId="5" xfId="0" applyFill="1" applyBorder="1">
      <alignment vertical="center"/>
    </xf>
    <xf numFmtId="0" fontId="0" fillId="9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9" fontId="0" fillId="8" borderId="0" xfId="0" applyNumberFormat="1" applyFill="1" applyBorder="1">
      <alignment vertical="center"/>
    </xf>
    <xf numFmtId="0" fontId="0" fillId="8" borderId="0" xfId="0" applyFill="1" applyBorder="1">
      <alignment vertical="center"/>
    </xf>
    <xf numFmtId="179" fontId="0" fillId="8" borderId="0" xfId="0" applyNumberFormat="1" applyFill="1" applyBorder="1">
      <alignment vertical="center"/>
    </xf>
    <xf numFmtId="0" fontId="0" fillId="8" borderId="0" xfId="0" applyFill="1" applyBorder="1" applyAlignment="1">
      <alignment horizontal="center" vertical="center"/>
    </xf>
    <xf numFmtId="9" fontId="0" fillId="2" borderId="13" xfId="0" applyNumberFormat="1" applyFill="1" applyBorder="1">
      <alignment vertical="center"/>
    </xf>
    <xf numFmtId="9" fontId="0" fillId="2" borderId="14" xfId="0" applyNumberFormat="1" applyFill="1" applyBorder="1">
      <alignment vertical="center"/>
    </xf>
    <xf numFmtId="0" fontId="0" fillId="9" borderId="9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/>
    </xf>
    <xf numFmtId="177" fontId="0" fillId="8" borderId="1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0" fillId="6" borderId="0" xfId="0" applyNumberFormat="1" applyFill="1" applyBorder="1">
      <alignment vertical="center"/>
    </xf>
    <xf numFmtId="177" fontId="0" fillId="6" borderId="2" xfId="0" applyNumberFormat="1" applyFill="1" applyBorder="1">
      <alignment vertical="center"/>
    </xf>
    <xf numFmtId="0" fontId="0" fillId="8" borderId="12" xfId="0" applyFill="1" applyBorder="1">
      <alignment vertical="center"/>
    </xf>
    <xf numFmtId="0" fontId="0" fillId="8" borderId="5" xfId="0" applyFill="1" applyBorder="1">
      <alignment vertical="center"/>
    </xf>
    <xf numFmtId="0" fontId="0" fillId="8" borderId="6" xfId="0" applyFill="1" applyBorder="1">
      <alignment vertical="center"/>
    </xf>
    <xf numFmtId="177" fontId="11" fillId="6" borderId="5" xfId="0" applyNumberFormat="1" applyFont="1" applyFill="1" applyBorder="1">
      <alignment vertical="center"/>
    </xf>
    <xf numFmtId="0" fontId="22" fillId="8" borderId="5" xfId="0" applyFont="1" applyFill="1" applyBorder="1">
      <alignment vertical="center"/>
    </xf>
    <xf numFmtId="0" fontId="22" fillId="0" borderId="0" xfId="0" applyFont="1">
      <alignment vertical="center"/>
    </xf>
    <xf numFmtId="0" fontId="0" fillId="11" borderId="0" xfId="0" applyFill="1" applyBorder="1" applyAlignment="1">
      <alignment horizontal="right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10" fillId="0" borderId="0" xfId="0" applyNumberFormat="1" applyFont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77" fontId="0" fillId="11" borderId="0" xfId="0" applyNumberFormat="1" applyFill="1" applyAlignment="1">
      <alignment horizontal="center" vertical="center"/>
    </xf>
    <xf numFmtId="177" fontId="11" fillId="11" borderId="0" xfId="0" applyNumberFormat="1" applyFont="1" applyFill="1" applyAlignment="1">
      <alignment horizontal="center" vertical="center"/>
    </xf>
    <xf numFmtId="0" fontId="0" fillId="11" borderId="0" xfId="0" applyFill="1" applyBorder="1">
      <alignment vertical="center"/>
    </xf>
    <xf numFmtId="177" fontId="0" fillId="2" borderId="68" xfId="0" applyNumberFormat="1" applyFill="1" applyBorder="1" applyAlignment="1">
      <alignment horizontal="center" vertical="center"/>
    </xf>
    <xf numFmtId="178" fontId="0" fillId="11" borderId="0" xfId="1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178" fontId="0" fillId="2" borderId="65" xfId="0" applyNumberFormat="1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0" fillId="9" borderId="0" xfId="0" applyFill="1" applyBorder="1">
      <alignment vertical="center"/>
    </xf>
    <xf numFmtId="177" fontId="17" fillId="8" borderId="0" xfId="0" applyNumberFormat="1" applyFont="1" applyFill="1" applyBorder="1" applyAlignment="1">
      <alignment horizontal="center" vertical="center"/>
    </xf>
    <xf numFmtId="177" fontId="17" fillId="8" borderId="20" xfId="0" applyNumberFormat="1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23" fillId="8" borderId="70" xfId="0" applyFont="1" applyFill="1" applyBorder="1" applyAlignment="1">
      <alignment vertical="center"/>
    </xf>
    <xf numFmtId="0" fontId="24" fillId="8" borderId="70" xfId="0" applyFont="1" applyFill="1" applyBorder="1" applyAlignment="1">
      <alignment vertical="center"/>
    </xf>
    <xf numFmtId="0" fontId="0" fillId="8" borderId="72" xfId="0" applyFill="1" applyBorder="1" applyAlignment="1">
      <alignment vertical="center"/>
    </xf>
    <xf numFmtId="177" fontId="0" fillId="8" borderId="71" xfId="0" applyNumberFormat="1" applyFill="1" applyBorder="1" applyAlignment="1">
      <alignment horizontal="center" vertical="center"/>
    </xf>
    <xf numFmtId="177" fontId="0" fillId="8" borderId="70" xfId="0" applyNumberFormat="1" applyFill="1" applyBorder="1" applyAlignment="1">
      <alignment horizontal="center" vertical="center"/>
    </xf>
    <xf numFmtId="177" fontId="25" fillId="8" borderId="72" xfId="0" applyNumberFormat="1" applyFont="1" applyFill="1" applyBorder="1" applyAlignment="1">
      <alignment horizontal="center" vertical="center"/>
    </xf>
    <xf numFmtId="177" fontId="25" fillId="8" borderId="70" xfId="0" applyNumberFormat="1" applyFont="1" applyFill="1" applyBorder="1" applyAlignment="1">
      <alignment horizontal="center" vertical="center"/>
    </xf>
    <xf numFmtId="179" fontId="0" fillId="8" borderId="72" xfId="0" applyNumberFormat="1" applyFill="1" applyBorder="1">
      <alignment vertical="center"/>
    </xf>
    <xf numFmtId="179" fontId="0" fillId="8" borderId="70" xfId="0" applyNumberFormat="1" applyFill="1" applyBorder="1">
      <alignment vertical="center"/>
    </xf>
    <xf numFmtId="178" fontId="11" fillId="11" borderId="0" xfId="1" applyNumberFormat="1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178" fontId="26" fillId="11" borderId="0" xfId="1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77" fontId="0" fillId="8" borderId="74" xfId="0" applyNumberFormat="1" applyFill="1" applyBorder="1">
      <alignment vertical="center"/>
    </xf>
    <xf numFmtId="177" fontId="0" fillId="8" borderId="75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10" fillId="0" borderId="0" xfId="0" applyNumberFormat="1" applyFont="1" applyFill="1" applyBorder="1">
      <alignment vertical="center"/>
    </xf>
    <xf numFmtId="0" fontId="0" fillId="0" borderId="75" xfId="0" applyBorder="1">
      <alignment vertical="center"/>
    </xf>
    <xf numFmtId="0" fontId="0" fillId="7" borderId="77" xfId="0" applyFill="1" applyBorder="1" applyAlignment="1">
      <alignment horizontal="center" vertical="center" wrapText="1"/>
    </xf>
    <xf numFmtId="0" fontId="0" fillId="7" borderId="76" xfId="0" applyFill="1" applyBorder="1" applyAlignment="1">
      <alignment horizontal="center" vertical="center" wrapText="1"/>
    </xf>
    <xf numFmtId="0" fontId="25" fillId="8" borderId="70" xfId="0" applyFont="1" applyFill="1" applyBorder="1" applyAlignment="1">
      <alignment vertical="center"/>
    </xf>
    <xf numFmtId="179" fontId="0" fillId="2" borderId="81" xfId="0" applyNumberFormat="1" applyFill="1" applyBorder="1">
      <alignment vertical="center"/>
    </xf>
    <xf numFmtId="0" fontId="0" fillId="4" borderId="63" xfId="0" applyFill="1" applyBorder="1">
      <alignment vertical="center"/>
    </xf>
    <xf numFmtId="0" fontId="27" fillId="0" borderId="0" xfId="0" applyFont="1">
      <alignment vertical="center"/>
    </xf>
    <xf numFmtId="177" fontId="11" fillId="0" borderId="0" xfId="0" applyNumberFormat="1" applyFont="1" applyFill="1" applyBorder="1">
      <alignment vertical="center"/>
    </xf>
    <xf numFmtId="177" fontId="0" fillId="14" borderId="0" xfId="0" applyNumberFormat="1" applyFill="1" applyBorder="1" applyAlignment="1">
      <alignment horizontal="center" vertical="center"/>
    </xf>
    <xf numFmtId="177" fontId="0" fillId="14" borderId="0" xfId="0" applyNumberFormat="1" applyFill="1" applyBorder="1">
      <alignment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/>
    </xf>
    <xf numFmtId="177" fontId="10" fillId="8" borderId="30" xfId="1" applyNumberFormat="1" applyFont="1" applyFill="1" applyBorder="1" applyAlignment="1">
      <alignment horizontal="center" vertical="center"/>
    </xf>
    <xf numFmtId="177" fontId="10" fillId="8" borderId="0" xfId="1" applyNumberFormat="1" applyFont="1" applyFill="1" applyBorder="1" applyAlignment="1">
      <alignment horizontal="center" vertical="center"/>
    </xf>
    <xf numFmtId="177" fontId="10" fillId="8" borderId="51" xfId="1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177" fontId="11" fillId="11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4" fillId="8" borderId="67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" xfId="0" applyFill="1" applyBorder="1" applyAlignment="1">
      <alignment horizontal="right" vertical="center"/>
    </xf>
    <xf numFmtId="0" fontId="0" fillId="8" borderId="2" xfId="0" applyFill="1" applyBorder="1" applyAlignment="1">
      <alignment horizontal="right" vertical="center"/>
    </xf>
    <xf numFmtId="0" fontId="0" fillId="8" borderId="11" xfId="0" applyFill="1" applyBorder="1" applyAlignment="1">
      <alignment horizontal="right" vertical="center"/>
    </xf>
    <xf numFmtId="0" fontId="0" fillId="8" borderId="0" xfId="0" applyFill="1" applyBorder="1" applyAlignment="1">
      <alignment horizontal="right" vertical="center"/>
    </xf>
    <xf numFmtId="0" fontId="0" fillId="8" borderId="4" xfId="0" applyFill="1" applyBorder="1" applyAlignment="1">
      <alignment horizontal="right" vertical="center"/>
    </xf>
    <xf numFmtId="0" fontId="0" fillId="8" borderId="5" xfId="0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10" fillId="5" borderId="17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right" vertical="center"/>
    </xf>
    <xf numFmtId="0" fontId="0" fillId="4" borderId="73" xfId="0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 wrapText="1"/>
    </xf>
    <xf numFmtId="0" fontId="0" fillId="4" borderId="73" xfId="0" applyNumberForma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/>
    </xf>
    <xf numFmtId="0" fontId="0" fillId="13" borderId="83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8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 wrapText="1"/>
    </xf>
    <xf numFmtId="0" fontId="0" fillId="13" borderId="8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83" xfId="0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19</xdr:row>
      <xdr:rowOff>104775</xdr:rowOff>
    </xdr:from>
    <xdr:to>
      <xdr:col>12</xdr:col>
      <xdr:colOff>123825</xdr:colOff>
      <xdr:row>30</xdr:row>
      <xdr:rowOff>76200</xdr:rowOff>
    </xdr:to>
    <xdr:pic>
      <xdr:nvPicPr>
        <xdr:cNvPr id="3" name="그림 2" descr="통화시간조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4991100"/>
          <a:ext cx="9725025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s.show.co.kr/" TargetMode="External"/><Relationship Id="rId2" Type="http://schemas.openxmlformats.org/officeDocument/2006/relationships/hyperlink" Target="http://rlaza.tistory.com/10" TargetMode="External"/><Relationship Id="rId1" Type="http://schemas.openxmlformats.org/officeDocument/2006/relationships/hyperlink" Target="http://rlaza.tistory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>
      <selection activeCell="E10" sqref="E10"/>
    </sheetView>
  </sheetViews>
  <sheetFormatPr defaultRowHeight="16.5"/>
  <cols>
    <col min="3" max="3" width="12" customWidth="1"/>
    <col min="4" max="5" width="9" customWidth="1"/>
    <col min="6" max="7" width="12.375" customWidth="1"/>
    <col min="8" max="8" width="12.75" customWidth="1"/>
    <col min="9" max="9" width="14.5" customWidth="1"/>
    <col min="10" max="10" width="12.875" customWidth="1"/>
    <col min="11" max="13" width="9" customWidth="1"/>
    <col min="14" max="14" width="9.375" bestFit="1" customWidth="1"/>
  </cols>
  <sheetData>
    <row r="1" spans="1:14" ht="41.25">
      <c r="A1" s="3" t="s">
        <v>1</v>
      </c>
      <c r="B1" s="116" t="s">
        <v>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26.25">
      <c r="A2" s="3" t="s">
        <v>2</v>
      </c>
      <c r="B2" s="12" t="s">
        <v>141</v>
      </c>
      <c r="C2" t="s">
        <v>51</v>
      </c>
    </row>
    <row r="3" spans="1:14" ht="26.25">
      <c r="A3" s="3" t="s">
        <v>3</v>
      </c>
      <c r="B3" s="1" t="s">
        <v>139</v>
      </c>
      <c r="C3" s="6"/>
      <c r="D3" s="6"/>
      <c r="E3" s="6"/>
    </row>
    <row r="4" spans="1:14" ht="26.25">
      <c r="A4" s="3" t="s">
        <v>4</v>
      </c>
      <c r="B4" s="1" t="s">
        <v>140</v>
      </c>
      <c r="C4" s="6"/>
      <c r="D4" s="6"/>
      <c r="E4" s="6"/>
    </row>
    <row r="6" spans="1:14">
      <c r="B6" s="96" t="s">
        <v>5</v>
      </c>
      <c r="C6" s="8"/>
      <c r="D6" s="8"/>
      <c r="E6" s="8"/>
    </row>
    <row r="7" spans="1:14" ht="17.25" thickBot="1">
      <c r="B7" s="110" t="s">
        <v>7</v>
      </c>
      <c r="C7" s="190" t="s">
        <v>132</v>
      </c>
      <c r="D7" s="190"/>
      <c r="E7" s="93"/>
      <c r="F7" s="191" t="s">
        <v>134</v>
      </c>
    </row>
    <row r="8" spans="1:14" ht="17.25" thickBot="1">
      <c r="E8" s="94" t="s">
        <v>31</v>
      </c>
      <c r="F8" s="17" t="s">
        <v>133</v>
      </c>
    </row>
    <row r="9" spans="1:14" ht="17.25" thickBot="1">
      <c r="B9" s="32"/>
      <c r="C9" s="33" t="s">
        <v>24</v>
      </c>
      <c r="D9" s="34"/>
      <c r="E9" s="42"/>
      <c r="F9" s="34"/>
      <c r="G9" s="35"/>
    </row>
    <row r="10" spans="1:14">
      <c r="B10" s="36"/>
      <c r="C10" s="31"/>
      <c r="D10" s="30" t="s">
        <v>25</v>
      </c>
      <c r="E10" s="39">
        <v>4</v>
      </c>
      <c r="F10" s="19" t="s">
        <v>16</v>
      </c>
      <c r="G10" s="37"/>
      <c r="H10" s="13" t="str">
        <f>IF(E10=0, "  → 결합할인이 적용되지", "  → 결합할인이 적용되어,")</f>
        <v xml:space="preserve">  → 결합할인이 적용되어,</v>
      </c>
    </row>
    <row r="11" spans="1:14">
      <c r="B11" s="36"/>
      <c r="C11" s="31"/>
      <c r="D11" s="30" t="s">
        <v>26</v>
      </c>
      <c r="E11" s="40">
        <v>290</v>
      </c>
      <c r="F11" s="19" t="s">
        <v>15</v>
      </c>
      <c r="G11" s="37"/>
      <c r="H11" s="43">
        <f>IF(E10&lt;&gt;0,E10*10%,"않습니다.")</f>
        <v>0.4</v>
      </c>
      <c r="I11" s="15" t="str">
        <f>IF(E10&lt;&gt;0,"의 기본료 할인 혜택이 주어집니다.","")</f>
        <v>의 기본료 할인 혜택이 주어집니다.</v>
      </c>
    </row>
    <row r="12" spans="1:14" ht="17.25" thickBot="1">
      <c r="B12" s="200" t="s">
        <v>17</v>
      </c>
      <c r="C12" s="201"/>
      <c r="D12" s="201"/>
      <c r="E12" s="40">
        <v>250</v>
      </c>
      <c r="F12" s="20" t="s">
        <v>18</v>
      </c>
      <c r="G12" s="38"/>
    </row>
    <row r="13" spans="1:14">
      <c r="E13" s="96" t="s">
        <v>31</v>
      </c>
    </row>
    <row r="14" spans="1:14" ht="17.25" thickBot="1">
      <c r="E14" s="95"/>
      <c r="F14" s="108" t="s">
        <v>50</v>
      </c>
      <c r="G14" s="93"/>
    </row>
    <row r="15" spans="1:14" ht="17.25" thickBot="1">
      <c r="G15" s="94" t="s">
        <v>32</v>
      </c>
      <c r="L15" s="18"/>
      <c r="M15" s="9"/>
      <c r="N15" s="9"/>
    </row>
    <row r="16" spans="1:14">
      <c r="G16" s="103"/>
      <c r="L16" s="18"/>
      <c r="M16" s="9"/>
      <c r="N16" s="9"/>
    </row>
    <row r="17" spans="2:14" ht="20.25">
      <c r="B17" s="105" t="s">
        <v>47</v>
      </c>
      <c r="G17" s="103"/>
      <c r="L17" s="18"/>
      <c r="M17" s="9"/>
      <c r="N17" s="9"/>
    </row>
    <row r="18" spans="2:14" ht="20.25">
      <c r="B18" s="106" t="s">
        <v>48</v>
      </c>
      <c r="C18" s="5" t="s">
        <v>49</v>
      </c>
      <c r="G18" s="103"/>
      <c r="L18" s="18"/>
      <c r="M18" s="9"/>
      <c r="N18" s="9"/>
    </row>
    <row r="19" spans="2:14" ht="17.25">
      <c r="E19" s="107" t="s">
        <v>46</v>
      </c>
      <c r="G19" s="103"/>
      <c r="L19" s="18"/>
      <c r="M19" s="9"/>
      <c r="N19" s="9"/>
    </row>
    <row r="20" spans="2:14">
      <c r="G20" s="103"/>
      <c r="L20" s="18"/>
      <c r="M20" s="9"/>
      <c r="N20" s="9"/>
    </row>
    <row r="21" spans="2:14">
      <c r="G21" s="103"/>
      <c r="L21" s="18"/>
      <c r="M21" s="9"/>
      <c r="N21" s="9"/>
    </row>
    <row r="22" spans="2:14">
      <c r="G22" s="103"/>
      <c r="L22" s="18"/>
      <c r="M22" s="9"/>
      <c r="N22" s="9"/>
    </row>
    <row r="23" spans="2:14">
      <c r="G23" s="103"/>
      <c r="L23" s="18"/>
      <c r="M23" s="9"/>
      <c r="N23" s="9"/>
    </row>
    <row r="24" spans="2:14">
      <c r="G24" s="103"/>
      <c r="L24" s="18"/>
      <c r="M24" s="9"/>
      <c r="N24" s="9"/>
    </row>
    <row r="25" spans="2:14">
      <c r="G25" s="103"/>
      <c r="L25" s="18"/>
      <c r="M25" s="9"/>
      <c r="N25" s="9"/>
    </row>
    <row r="26" spans="2:14">
      <c r="G26" s="103"/>
      <c r="L26" s="18"/>
      <c r="M26" s="9"/>
      <c r="N26" s="9"/>
    </row>
    <row r="27" spans="2:14">
      <c r="G27" s="103"/>
      <c r="L27" s="18"/>
      <c r="M27" s="9"/>
      <c r="N27" s="9"/>
    </row>
    <row r="28" spans="2:14">
      <c r="G28" s="103"/>
      <c r="L28" s="18"/>
      <c r="M28" s="9"/>
      <c r="N28" s="9"/>
    </row>
    <row r="29" spans="2:14">
      <c r="G29" s="103"/>
      <c r="L29" s="18"/>
      <c r="M29" s="9"/>
      <c r="N29" s="9"/>
    </row>
    <row r="30" spans="2:14">
      <c r="G30" s="103"/>
      <c r="L30" s="18"/>
      <c r="M30" s="9"/>
      <c r="N30" s="9"/>
    </row>
    <row r="31" spans="2:14">
      <c r="G31" s="103"/>
      <c r="L31" s="18"/>
      <c r="M31" s="9"/>
      <c r="N31" s="9"/>
    </row>
    <row r="33" spans="1:14" ht="26.25">
      <c r="A33" s="11" t="s">
        <v>58</v>
      </c>
    </row>
    <row r="34" spans="1:14">
      <c r="A34" s="17" t="s">
        <v>27</v>
      </c>
    </row>
    <row r="35" spans="1:14">
      <c r="B35" t="s">
        <v>52</v>
      </c>
    </row>
    <row r="36" spans="1:14" ht="17.25" thickBot="1"/>
    <row r="37" spans="1:14" ht="33.75" thickBot="1">
      <c r="A37" s="65" t="s">
        <v>42</v>
      </c>
      <c r="B37" s="65" t="s">
        <v>8</v>
      </c>
      <c r="C37" s="65"/>
      <c r="D37" s="65"/>
      <c r="E37" s="65" t="s">
        <v>13</v>
      </c>
      <c r="F37" s="66" t="s">
        <v>14</v>
      </c>
      <c r="G37" s="65" t="s">
        <v>20</v>
      </c>
      <c r="H37" s="67" t="s">
        <v>29</v>
      </c>
      <c r="I37" s="102" t="s">
        <v>44</v>
      </c>
      <c r="J37" s="68" t="s">
        <v>43</v>
      </c>
      <c r="K37" s="69" t="s">
        <v>0</v>
      </c>
      <c r="L37" s="70" t="s">
        <v>19</v>
      </c>
      <c r="M37" s="71" t="s">
        <v>21</v>
      </c>
      <c r="N37" s="72" t="s">
        <v>22</v>
      </c>
    </row>
    <row r="38" spans="1:14">
      <c r="A38" s="117" t="str">
        <f t="shared" ref="A38:A46" si="0">IF(MIN(N$38:N$46)=N38, "추천! →", "")</f>
        <v/>
      </c>
      <c r="B38" s="29" t="s">
        <v>30</v>
      </c>
      <c r="C38" s="29"/>
      <c r="D38" s="29"/>
      <c r="E38" s="24">
        <v>12000</v>
      </c>
      <c r="F38" s="26">
        <v>18</v>
      </c>
      <c r="G38" s="27">
        <v>0</v>
      </c>
      <c r="H38" s="97">
        <v>0</v>
      </c>
      <c r="I38" s="73">
        <f t="shared" ref="I38:I46" si="1">-(E38*(E$10*10%))</f>
        <v>-4800</v>
      </c>
      <c r="J38" s="74">
        <f>E38+I38</f>
        <v>7200</v>
      </c>
      <c r="K38" s="75">
        <f t="shared" ref="K38:K46" si="2">IF(E$11&lt;=G38, 0, (E$11-G38)*(F38*6))</f>
        <v>31320</v>
      </c>
      <c r="L38" s="76">
        <f t="shared" ref="L38:L46" si="3">IF(E$12&lt;=H38, 0, (E$12-H38)*20)</f>
        <v>5000</v>
      </c>
      <c r="M38" s="111">
        <f>SUM(J38:L38)</f>
        <v>43520</v>
      </c>
      <c r="N38" s="77">
        <f>M38*110%</f>
        <v>47872.000000000007</v>
      </c>
    </row>
    <row r="39" spans="1:14" ht="16.5" customHeight="1">
      <c r="A39" s="118" t="str">
        <f t="shared" si="0"/>
        <v/>
      </c>
      <c r="B39" s="29" t="s">
        <v>33</v>
      </c>
      <c r="C39" s="29"/>
      <c r="D39" s="29"/>
      <c r="E39" s="24">
        <v>10500</v>
      </c>
      <c r="F39" s="26">
        <v>28</v>
      </c>
      <c r="G39" s="27">
        <v>0</v>
      </c>
      <c r="H39" s="97">
        <v>30</v>
      </c>
      <c r="I39" s="57">
        <f t="shared" si="1"/>
        <v>-4200</v>
      </c>
      <c r="J39" s="44">
        <f t="shared" ref="J39:J53" si="4">E39+I39</f>
        <v>6300</v>
      </c>
      <c r="K39" s="28">
        <f t="shared" si="2"/>
        <v>48720</v>
      </c>
      <c r="L39" s="45">
        <f t="shared" si="3"/>
        <v>4400</v>
      </c>
      <c r="M39" s="112">
        <f t="shared" ref="M39:M53" si="5">SUM(J39:L39)</f>
        <v>59420</v>
      </c>
      <c r="N39" s="78">
        <f t="shared" ref="N39:N53" si="6">M39*110%</f>
        <v>65362.000000000007</v>
      </c>
    </row>
    <row r="40" spans="1:14">
      <c r="A40" s="118" t="str">
        <f t="shared" si="0"/>
        <v>추천! →</v>
      </c>
      <c r="B40" s="46" t="s">
        <v>9</v>
      </c>
      <c r="C40" s="46"/>
      <c r="D40" s="46"/>
      <c r="E40" s="47">
        <v>31000</v>
      </c>
      <c r="F40" s="48">
        <v>18</v>
      </c>
      <c r="G40" s="98">
        <v>200</v>
      </c>
      <c r="H40" s="99">
        <v>0</v>
      </c>
      <c r="I40" s="53">
        <f t="shared" si="1"/>
        <v>-12400</v>
      </c>
      <c r="J40" s="54">
        <f t="shared" si="4"/>
        <v>18600</v>
      </c>
      <c r="K40" s="55">
        <f t="shared" si="2"/>
        <v>9720</v>
      </c>
      <c r="L40" s="56">
        <f t="shared" si="3"/>
        <v>5000</v>
      </c>
      <c r="M40" s="113">
        <f t="shared" si="5"/>
        <v>33320</v>
      </c>
      <c r="N40" s="79">
        <f t="shared" si="6"/>
        <v>36652</v>
      </c>
    </row>
    <row r="41" spans="1:14">
      <c r="A41" s="118" t="str">
        <f t="shared" si="0"/>
        <v/>
      </c>
      <c r="B41" s="29" t="s">
        <v>10</v>
      </c>
      <c r="C41" s="29"/>
      <c r="D41" s="29"/>
      <c r="E41" s="24">
        <v>50000</v>
      </c>
      <c r="F41" s="26">
        <v>17</v>
      </c>
      <c r="G41" s="27">
        <v>400</v>
      </c>
      <c r="H41" s="97">
        <v>0</v>
      </c>
      <c r="I41" s="57">
        <f t="shared" si="1"/>
        <v>-20000</v>
      </c>
      <c r="J41" s="44">
        <f t="shared" si="4"/>
        <v>30000</v>
      </c>
      <c r="K41" s="28">
        <f t="shared" si="2"/>
        <v>0</v>
      </c>
      <c r="L41" s="45">
        <f t="shared" si="3"/>
        <v>5000</v>
      </c>
      <c r="M41" s="112">
        <f t="shared" si="5"/>
        <v>35000</v>
      </c>
      <c r="N41" s="78">
        <f t="shared" si="6"/>
        <v>38500</v>
      </c>
    </row>
    <row r="42" spans="1:14">
      <c r="A42" s="118" t="str">
        <f t="shared" si="0"/>
        <v/>
      </c>
      <c r="B42" s="29" t="s">
        <v>11</v>
      </c>
      <c r="C42" s="29"/>
      <c r="D42" s="29"/>
      <c r="E42" s="24">
        <v>65000</v>
      </c>
      <c r="F42" s="26">
        <v>17</v>
      </c>
      <c r="G42" s="27">
        <v>600</v>
      </c>
      <c r="H42" s="97">
        <v>0</v>
      </c>
      <c r="I42" s="57">
        <f t="shared" si="1"/>
        <v>-26000</v>
      </c>
      <c r="J42" s="44">
        <f t="shared" si="4"/>
        <v>39000</v>
      </c>
      <c r="K42" s="28">
        <f t="shared" si="2"/>
        <v>0</v>
      </c>
      <c r="L42" s="45">
        <f t="shared" si="3"/>
        <v>5000</v>
      </c>
      <c r="M42" s="112">
        <f t="shared" si="5"/>
        <v>44000</v>
      </c>
      <c r="N42" s="78">
        <f t="shared" si="6"/>
        <v>48400.000000000007</v>
      </c>
    </row>
    <row r="43" spans="1:14">
      <c r="A43" s="118" t="str">
        <f t="shared" si="0"/>
        <v/>
      </c>
      <c r="B43" s="29" t="s">
        <v>12</v>
      </c>
      <c r="C43" s="29"/>
      <c r="D43" s="29"/>
      <c r="E43" s="24">
        <v>71000</v>
      </c>
      <c r="F43" s="26">
        <v>15</v>
      </c>
      <c r="G43" s="27">
        <v>800</v>
      </c>
      <c r="H43" s="97">
        <v>0</v>
      </c>
      <c r="I43" s="57">
        <f t="shared" si="1"/>
        <v>-28400</v>
      </c>
      <c r="J43" s="44">
        <f t="shared" si="4"/>
        <v>42600</v>
      </c>
      <c r="K43" s="28">
        <f t="shared" si="2"/>
        <v>0</v>
      </c>
      <c r="L43" s="45">
        <f t="shared" si="3"/>
        <v>5000</v>
      </c>
      <c r="M43" s="112">
        <f t="shared" si="5"/>
        <v>47600</v>
      </c>
      <c r="N43" s="78">
        <f t="shared" si="6"/>
        <v>52360.000000000007</v>
      </c>
    </row>
    <row r="44" spans="1:14">
      <c r="A44" s="118" t="str">
        <f t="shared" si="0"/>
        <v/>
      </c>
      <c r="B44" s="49" t="s">
        <v>23</v>
      </c>
      <c r="C44" s="49"/>
      <c r="D44" s="49"/>
      <c r="E44" s="50">
        <v>90000</v>
      </c>
      <c r="F44" s="51">
        <v>15</v>
      </c>
      <c r="G44" s="100">
        <v>1800</v>
      </c>
      <c r="H44" s="101">
        <v>0</v>
      </c>
      <c r="I44" s="58">
        <f t="shared" si="1"/>
        <v>-36000</v>
      </c>
      <c r="J44" s="59">
        <f t="shared" si="4"/>
        <v>54000</v>
      </c>
      <c r="K44" s="60">
        <f t="shared" si="2"/>
        <v>0</v>
      </c>
      <c r="L44" s="61">
        <f t="shared" si="3"/>
        <v>5000</v>
      </c>
      <c r="M44" s="114">
        <f t="shared" si="5"/>
        <v>59000</v>
      </c>
      <c r="N44" s="80">
        <f t="shared" si="6"/>
        <v>64900.000000000007</v>
      </c>
    </row>
    <row r="45" spans="1:14">
      <c r="A45" s="118" t="str">
        <f t="shared" si="0"/>
        <v/>
      </c>
      <c r="B45" s="29" t="s">
        <v>34</v>
      </c>
      <c r="C45" s="29"/>
      <c r="D45" s="29"/>
      <c r="E45" s="24">
        <v>18000</v>
      </c>
      <c r="F45" s="25">
        <v>18</v>
      </c>
      <c r="G45" s="27">
        <v>0</v>
      </c>
      <c r="H45" s="97">
        <v>600</v>
      </c>
      <c r="I45" s="57">
        <f t="shared" si="1"/>
        <v>-7200</v>
      </c>
      <c r="J45" s="44">
        <f t="shared" si="4"/>
        <v>10800</v>
      </c>
      <c r="K45" s="28">
        <f t="shared" si="2"/>
        <v>31320</v>
      </c>
      <c r="L45" s="45">
        <f t="shared" si="3"/>
        <v>0</v>
      </c>
      <c r="M45" s="112">
        <f t="shared" si="5"/>
        <v>42120</v>
      </c>
      <c r="N45" s="78">
        <f t="shared" si="6"/>
        <v>46332.000000000007</v>
      </c>
    </row>
    <row r="46" spans="1:14">
      <c r="A46" s="118" t="str">
        <f t="shared" si="0"/>
        <v/>
      </c>
      <c r="B46" s="29" t="s">
        <v>35</v>
      </c>
      <c r="C46" s="29"/>
      <c r="D46" s="29"/>
      <c r="E46" s="24">
        <v>26000</v>
      </c>
      <c r="F46" s="25">
        <v>18</v>
      </c>
      <c r="G46" s="27">
        <v>0</v>
      </c>
      <c r="H46" s="97">
        <v>1200</v>
      </c>
      <c r="I46" s="57">
        <f t="shared" si="1"/>
        <v>-10400</v>
      </c>
      <c r="J46" s="44">
        <f t="shared" si="4"/>
        <v>15600</v>
      </c>
      <c r="K46" s="28">
        <f t="shared" si="2"/>
        <v>31320</v>
      </c>
      <c r="L46" s="45">
        <f t="shared" si="3"/>
        <v>0</v>
      </c>
      <c r="M46" s="112">
        <f t="shared" si="5"/>
        <v>46920</v>
      </c>
      <c r="N46" s="78">
        <f t="shared" si="6"/>
        <v>51612.000000000007</v>
      </c>
    </row>
    <row r="47" spans="1:14">
      <c r="A47" s="86"/>
      <c r="B47" s="195" t="s">
        <v>45</v>
      </c>
      <c r="C47" s="195"/>
      <c r="D47" s="195"/>
      <c r="E47" s="195"/>
      <c r="F47" s="195"/>
      <c r="G47" s="195"/>
      <c r="H47" s="196"/>
      <c r="I47" s="197" t="s">
        <v>45</v>
      </c>
      <c r="J47" s="198"/>
      <c r="K47" s="198"/>
      <c r="L47" s="198"/>
      <c r="M47" s="198"/>
      <c r="N47" s="199"/>
    </row>
    <row r="48" spans="1:14">
      <c r="A48" s="86"/>
      <c r="B48" s="29" t="s">
        <v>36</v>
      </c>
      <c r="C48" s="29"/>
      <c r="D48" s="29"/>
      <c r="E48" s="24">
        <v>14000</v>
      </c>
      <c r="F48" s="25">
        <v>9</v>
      </c>
      <c r="G48" s="27">
        <v>0</v>
      </c>
      <c r="H48" s="97">
        <v>0</v>
      </c>
      <c r="I48" s="57">
        <f>-(E48*(E$10*10%))</f>
        <v>-5600</v>
      </c>
      <c r="J48" s="44">
        <f t="shared" ref="J48" si="7">E48+I48</f>
        <v>8400</v>
      </c>
      <c r="K48" s="28">
        <f>IF(E$11&lt;=G48, 0, (E$11-G48)*(F48*6))</f>
        <v>15660</v>
      </c>
      <c r="L48" s="45">
        <f>IF(E$12&lt;=H48, 0, (E$12-H48)*20)</f>
        <v>5000</v>
      </c>
      <c r="M48" s="112">
        <f t="shared" ref="M48" si="8">SUM(J48:L48)</f>
        <v>29060</v>
      </c>
      <c r="N48" s="78">
        <f t="shared" si="6"/>
        <v>31966.000000000004</v>
      </c>
    </row>
    <row r="49" spans="1:14">
      <c r="A49" s="86"/>
      <c r="B49" s="29"/>
      <c r="C49" s="52" t="s">
        <v>38</v>
      </c>
      <c r="D49" s="29"/>
      <c r="E49" s="24"/>
      <c r="F49" s="25"/>
      <c r="G49" s="27"/>
      <c r="H49" s="97"/>
      <c r="I49" s="57"/>
      <c r="J49" s="44"/>
      <c r="K49" s="28"/>
      <c r="L49" s="45"/>
      <c r="M49" s="112"/>
      <c r="N49" s="78"/>
    </row>
    <row r="50" spans="1:14">
      <c r="A50" s="86"/>
      <c r="B50" s="29" t="s">
        <v>37</v>
      </c>
      <c r="C50" s="29"/>
      <c r="D50" s="29"/>
      <c r="E50" s="24">
        <v>15000</v>
      </c>
      <c r="F50" s="25">
        <v>10.8</v>
      </c>
      <c r="G50" s="27">
        <v>0</v>
      </c>
      <c r="H50" s="97">
        <v>0</v>
      </c>
      <c r="I50" s="57">
        <f>-(E50*(E$10*10%))</f>
        <v>-6000</v>
      </c>
      <c r="J50" s="44">
        <f t="shared" si="4"/>
        <v>9000</v>
      </c>
      <c r="K50" s="28">
        <f>IF(E$11&lt;=G50, 0, (E$11-G50)*(F50*6))</f>
        <v>18792.000000000004</v>
      </c>
      <c r="L50" s="45">
        <f>IF(E$12&lt;=H50, 0, (E$12-H50)*20)</f>
        <v>5000</v>
      </c>
      <c r="M50" s="112">
        <f t="shared" si="5"/>
        <v>32792</v>
      </c>
      <c r="N50" s="78">
        <f t="shared" si="6"/>
        <v>36071.200000000004</v>
      </c>
    </row>
    <row r="51" spans="1:14">
      <c r="A51" s="86"/>
      <c r="B51" s="29"/>
      <c r="C51" s="52" t="s">
        <v>59</v>
      </c>
      <c r="D51" s="29"/>
      <c r="E51" s="24"/>
      <c r="F51" s="25"/>
      <c r="G51" s="27"/>
      <c r="H51" s="97"/>
      <c r="I51" s="57"/>
      <c r="J51" s="44"/>
      <c r="K51" s="28"/>
      <c r="L51" s="45"/>
      <c r="M51" s="112"/>
      <c r="N51" s="78"/>
    </row>
    <row r="52" spans="1:14">
      <c r="A52" s="86"/>
      <c r="B52" s="29" t="s">
        <v>39</v>
      </c>
      <c r="C52" s="29"/>
      <c r="D52" s="29"/>
      <c r="E52" s="24">
        <v>15000</v>
      </c>
      <c r="F52" s="25">
        <v>9</v>
      </c>
      <c r="G52" s="27">
        <v>0</v>
      </c>
      <c r="H52" s="97">
        <v>100</v>
      </c>
      <c r="I52" s="57">
        <f>-(E52*(E$10*10%))</f>
        <v>-6000</v>
      </c>
      <c r="J52" s="44">
        <f t="shared" si="4"/>
        <v>9000</v>
      </c>
      <c r="K52" s="28">
        <f>IF(E$11&lt;=G52, 0, (E$11-G52)*(F52*6))</f>
        <v>15660</v>
      </c>
      <c r="L52" s="45">
        <f>IF(E$12&lt;=H52, 0, (E$12-H52)*20)</f>
        <v>3000</v>
      </c>
      <c r="M52" s="112">
        <f t="shared" si="5"/>
        <v>27660</v>
      </c>
      <c r="N52" s="78">
        <f t="shared" si="6"/>
        <v>30426.000000000004</v>
      </c>
    </row>
    <row r="53" spans="1:14">
      <c r="A53" s="86"/>
      <c r="B53" s="29" t="s">
        <v>40</v>
      </c>
      <c r="C53" s="29"/>
      <c r="D53" s="29"/>
      <c r="E53" s="24">
        <v>16500</v>
      </c>
      <c r="F53" s="25">
        <v>9</v>
      </c>
      <c r="G53" s="27">
        <v>0</v>
      </c>
      <c r="H53" s="97">
        <v>100</v>
      </c>
      <c r="I53" s="57">
        <f>-(E53*(E$10*10%))</f>
        <v>-6600</v>
      </c>
      <c r="J53" s="44">
        <f t="shared" si="4"/>
        <v>9900</v>
      </c>
      <c r="K53" s="28">
        <f>IF(E$11&lt;=G53, 0, (E$11-G53)*(F53*6))</f>
        <v>15660</v>
      </c>
      <c r="L53" s="45">
        <f>IF(E$12&lt;=H53, 0, (E$12-H53)*20)</f>
        <v>3000</v>
      </c>
      <c r="M53" s="112">
        <f t="shared" si="5"/>
        <v>28560</v>
      </c>
      <c r="N53" s="78">
        <f t="shared" si="6"/>
        <v>31416.000000000004</v>
      </c>
    </row>
    <row r="54" spans="1:14" ht="17.25" thickBot="1">
      <c r="A54" s="87"/>
      <c r="B54" s="88"/>
      <c r="C54" s="89" t="s">
        <v>41</v>
      </c>
      <c r="D54" s="88"/>
      <c r="E54" s="90"/>
      <c r="F54" s="91"/>
      <c r="G54" s="91"/>
      <c r="H54" s="92"/>
      <c r="I54" s="81"/>
      <c r="J54" s="82"/>
      <c r="K54" s="83"/>
      <c r="L54" s="84"/>
      <c r="M54" s="115"/>
      <c r="N54" s="85"/>
    </row>
    <row r="56" spans="1:14">
      <c r="B56" s="104" t="s">
        <v>57</v>
      </c>
    </row>
    <row r="65" spans="3:3" ht="16.5" customHeight="1"/>
    <row r="78" spans="3:3">
      <c r="C78" s="10"/>
    </row>
  </sheetData>
  <sheetProtection password="96AF" sheet="1" objects="1" scenarios="1"/>
  <protectedRanges>
    <protectedRange sqref="E10:E12" name="범위1"/>
  </protectedRanges>
  <mergeCells count="3">
    <mergeCell ref="B47:H47"/>
    <mergeCell ref="I47:N47"/>
    <mergeCell ref="B12:D12"/>
  </mergeCells>
  <phoneticPr fontId="2" type="noConversion"/>
  <hyperlinks>
    <hyperlink ref="B3" r:id="rId1"/>
    <hyperlink ref="B4" r:id="rId2"/>
    <hyperlink ref="C18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B7" sqref="B7"/>
    </sheetView>
  </sheetViews>
  <sheetFormatPr defaultRowHeight="16.5"/>
  <cols>
    <col min="2" max="2" width="10.625" customWidth="1"/>
    <col min="3" max="3" width="13.125" customWidth="1"/>
    <col min="4" max="4" width="10.125" customWidth="1"/>
    <col min="5" max="5" width="16.875" customWidth="1"/>
  </cols>
  <sheetData>
    <row r="1" spans="1:13" ht="26.25">
      <c r="A1" s="11" t="s">
        <v>54</v>
      </c>
    </row>
    <row r="3" spans="1:13" ht="20.25">
      <c r="A3" s="4" t="s">
        <v>75</v>
      </c>
    </row>
    <row r="5" spans="1:13">
      <c r="A5" t="s">
        <v>71</v>
      </c>
    </row>
    <row r="6" spans="1:13" ht="33.75" thickBot="1">
      <c r="B6" s="120" t="s">
        <v>55</v>
      </c>
      <c r="C6" s="120" t="s">
        <v>14</v>
      </c>
      <c r="D6" s="120" t="s">
        <v>20</v>
      </c>
      <c r="E6" s="120" t="s">
        <v>56</v>
      </c>
      <c r="F6" s="121"/>
    </row>
    <row r="7" spans="1:13">
      <c r="B7" s="157">
        <v>31000</v>
      </c>
      <c r="C7" s="158">
        <v>18</v>
      </c>
      <c r="D7" s="158">
        <v>200</v>
      </c>
      <c r="E7" s="159">
        <v>0</v>
      </c>
      <c r="F7" s="135" t="s">
        <v>70</v>
      </c>
    </row>
    <row r="9" spans="1:13">
      <c r="A9" t="str">
        <f>IF(('1. 요금제계산'!E11-D7)&gt;0, "무료통화를 제외한 총 통화량은 ", "   실제 통화량이 무료통화 제공량보다")</f>
        <v xml:space="preserve">무료통화를 제외한 총 통화량은 </v>
      </c>
      <c r="C9" s="14"/>
      <c r="D9" s="3">
        <f>IF('1. 요금제계산'!E11-D7&gt;0,'1. 요금제계산'!E11- D7, "적기 때문에")</f>
        <v>90</v>
      </c>
      <c r="E9" s="119" t="str">
        <f>IF('1. 요금제계산'!E11-D7&gt;0,"분으로, 해당 구간의 요금은", " 부가서비스를 신청")</f>
        <v>분으로, 해당 구간의 요금은</v>
      </c>
      <c r="F9" t="str">
        <f>IF('1. 요금제계산'!E11-D7&gt;0, " 요금은", "할 필요가")</f>
        <v xml:space="preserve"> 요금은</v>
      </c>
      <c r="G9" s="179">
        <f>IF(('1. 요금제계산'!E11-D7)&gt;0, ('1. 요금제계산'!E11-D7)*(C7*6), "없습니다.")</f>
        <v>9720</v>
      </c>
      <c r="H9" t="str">
        <f>IF(('1. 요금제계산'!E11-D7)&gt;0, "원입니다.", "")</f>
        <v>원입니다.</v>
      </c>
      <c r="I9" s="119"/>
    </row>
    <row r="10" spans="1:13">
      <c r="C10" s="14"/>
      <c r="E10" s="119"/>
      <c r="F10" s="119"/>
      <c r="I10" s="119"/>
    </row>
    <row r="11" spans="1:13">
      <c r="A11" s="161" t="s">
        <v>64</v>
      </c>
      <c r="B11" s="161"/>
      <c r="C11" s="161"/>
      <c r="D11" s="161"/>
      <c r="E11" s="161"/>
      <c r="F11" s="161"/>
      <c r="G11" s="161"/>
      <c r="H11" s="204" t="s">
        <v>60</v>
      </c>
      <c r="I11" s="205"/>
      <c r="J11" s="206"/>
      <c r="K11" s="205" t="s">
        <v>61</v>
      </c>
      <c r="L11" s="205"/>
      <c r="M11" s="205"/>
    </row>
    <row r="12" spans="1:13" ht="17.25" thickBot="1">
      <c r="A12" s="122" t="s">
        <v>65</v>
      </c>
      <c r="B12" s="122"/>
      <c r="C12" s="122"/>
      <c r="D12" s="122"/>
      <c r="E12" s="122"/>
      <c r="F12" s="122"/>
      <c r="G12" s="122"/>
      <c r="H12" s="131" t="s">
        <v>13</v>
      </c>
      <c r="I12" s="124" t="s">
        <v>98</v>
      </c>
      <c r="J12" s="132" t="s">
        <v>62</v>
      </c>
      <c r="K12" s="123" t="s">
        <v>13</v>
      </c>
      <c r="L12" s="124" t="s">
        <v>98</v>
      </c>
      <c r="M12" s="124" t="s">
        <v>62</v>
      </c>
    </row>
    <row r="13" spans="1:13">
      <c r="A13" s="211" t="s">
        <v>63</v>
      </c>
      <c r="B13" s="213" t="s">
        <v>72</v>
      </c>
      <c r="C13" s="129">
        <v>1</v>
      </c>
      <c r="D13" s="207" t="s">
        <v>73</v>
      </c>
      <c r="E13" s="208"/>
      <c r="F13" s="125">
        <v>0</v>
      </c>
      <c r="G13" s="215" t="s">
        <v>53</v>
      </c>
      <c r="H13" s="133">
        <f>IF($G$9="없습니다.", "-", 2500)</f>
        <v>2500</v>
      </c>
      <c r="I13" s="44">
        <f>IF($G$9="없습니다.", "-", -$G$9*F13*30%)</f>
        <v>0</v>
      </c>
      <c r="J13" s="163">
        <f>IF($G$9="없습니다.", "-", H13+I13)</f>
        <v>2500</v>
      </c>
      <c r="K13" s="44">
        <f>IF($G$9="없습니다.", "-", 2500)</f>
        <v>2500</v>
      </c>
      <c r="L13" s="44">
        <f>IF($G$9="없습니다.", "-",-$G$9*C13*50%)</f>
        <v>-4860</v>
      </c>
      <c r="M13" s="162">
        <f>IF($G$9="없습니다.", "-", K13+L13)</f>
        <v>-2360</v>
      </c>
    </row>
    <row r="14" spans="1:13">
      <c r="A14" s="212"/>
      <c r="B14" s="214"/>
      <c r="C14" s="130">
        <v>0.7</v>
      </c>
      <c r="D14" s="209"/>
      <c r="E14" s="210"/>
      <c r="F14" s="125">
        <f>IF(C14=0, "", 1-C14)</f>
        <v>0.30000000000000004</v>
      </c>
      <c r="G14" s="216"/>
      <c r="H14" s="133">
        <f t="shared" ref="H14:H19" si="0">IF($G$9="없습니다.", "-", 2500)</f>
        <v>2500</v>
      </c>
      <c r="I14" s="44">
        <f t="shared" ref="I14:I19" si="1">IF($G$9="없습니다.", "-", -$G$9*F14*30%)</f>
        <v>-874.80000000000007</v>
      </c>
      <c r="J14" s="163">
        <f t="shared" ref="J14:J19" si="2">IF($G$9="없습니다.", "-", H14+I14)</f>
        <v>1625.1999999999998</v>
      </c>
      <c r="K14" s="44">
        <f t="shared" ref="K14:K19" si="3">IF($G$9="없습니다.", "-", 2500)</f>
        <v>2500</v>
      </c>
      <c r="L14" s="44">
        <f t="shared" ref="L14:L19" si="4">IF($G$9="없습니다.", "-",-$G$9*C14*50%)</f>
        <v>-3402</v>
      </c>
      <c r="M14" s="162">
        <f t="shared" ref="M14:M19" si="5">IF($G$9="없습니다.", "-", K14+L14)</f>
        <v>-902</v>
      </c>
    </row>
    <row r="15" spans="1:13">
      <c r="A15" s="212"/>
      <c r="B15" s="214"/>
      <c r="C15" s="130">
        <v>0.5</v>
      </c>
      <c r="D15" s="209"/>
      <c r="E15" s="210"/>
      <c r="F15" s="125">
        <f>IF(C15=0, "", 1-C15)</f>
        <v>0.5</v>
      </c>
      <c r="G15" s="216"/>
      <c r="H15" s="133">
        <f t="shared" si="0"/>
        <v>2500</v>
      </c>
      <c r="I15" s="44">
        <f t="shared" si="1"/>
        <v>-1458</v>
      </c>
      <c r="J15" s="163">
        <f t="shared" si="2"/>
        <v>1042</v>
      </c>
      <c r="K15" s="44">
        <f t="shared" si="3"/>
        <v>2500</v>
      </c>
      <c r="L15" s="44">
        <f t="shared" si="4"/>
        <v>-2430</v>
      </c>
      <c r="M15" s="162">
        <f t="shared" si="5"/>
        <v>70</v>
      </c>
    </row>
    <row r="16" spans="1:13">
      <c r="A16" s="212"/>
      <c r="B16" s="214"/>
      <c r="C16" s="130">
        <v>0.3</v>
      </c>
      <c r="D16" s="209"/>
      <c r="E16" s="210"/>
      <c r="F16" s="125">
        <f>IF(C16=0, "", 1-C16)</f>
        <v>0.7</v>
      </c>
      <c r="G16" s="216"/>
      <c r="H16" s="133">
        <f t="shared" si="0"/>
        <v>2500</v>
      </c>
      <c r="I16" s="44">
        <f t="shared" si="1"/>
        <v>-2041.1999999999998</v>
      </c>
      <c r="J16" s="163">
        <f t="shared" si="2"/>
        <v>458.80000000000018</v>
      </c>
      <c r="K16" s="44">
        <f t="shared" si="3"/>
        <v>2500</v>
      </c>
      <c r="L16" s="44">
        <f t="shared" si="4"/>
        <v>-1458</v>
      </c>
      <c r="M16" s="162">
        <f t="shared" si="5"/>
        <v>1042</v>
      </c>
    </row>
    <row r="17" spans="1:13">
      <c r="A17" s="212"/>
      <c r="B17" s="214"/>
      <c r="C17" s="130">
        <v>0</v>
      </c>
      <c r="D17" s="209"/>
      <c r="E17" s="210"/>
      <c r="F17" s="125">
        <v>1</v>
      </c>
      <c r="G17" s="216"/>
      <c r="H17" s="133">
        <f t="shared" si="0"/>
        <v>2500</v>
      </c>
      <c r="I17" s="44">
        <f t="shared" si="1"/>
        <v>-2916</v>
      </c>
      <c r="J17" s="163">
        <f t="shared" si="2"/>
        <v>-416</v>
      </c>
      <c r="K17" s="44">
        <f t="shared" si="3"/>
        <v>2500</v>
      </c>
      <c r="L17" s="44">
        <f t="shared" si="4"/>
        <v>0</v>
      </c>
      <c r="M17" s="162">
        <f t="shared" si="5"/>
        <v>2500</v>
      </c>
    </row>
    <row r="18" spans="1:13" ht="17.25" thickBot="1">
      <c r="A18" s="128"/>
      <c r="B18" s="165"/>
      <c r="C18" s="189">
        <v>0.375</v>
      </c>
      <c r="D18" s="164"/>
      <c r="E18" s="164"/>
      <c r="F18" s="127">
        <v>0.625</v>
      </c>
      <c r="G18" s="166"/>
      <c r="H18" s="133">
        <f t="shared" si="0"/>
        <v>2500</v>
      </c>
      <c r="I18" s="44">
        <f t="shared" ref="I18" si="6">IF($G$9="없습니다.", "-", -$G$9*F18*30%)</f>
        <v>-1822.5</v>
      </c>
      <c r="J18" s="163">
        <f t="shared" ref="J18" si="7">IF($G$9="없습니다.", "-", H18+I18)</f>
        <v>677.5</v>
      </c>
      <c r="K18" s="44">
        <f t="shared" si="3"/>
        <v>2500</v>
      </c>
      <c r="L18" s="44">
        <f t="shared" ref="L18" si="8">IF($G$9="없습니다.", "-",-$G$9*C18*50%)</f>
        <v>-1822.5</v>
      </c>
      <c r="M18" s="162">
        <f t="shared" ref="M18" si="9">IF($G$9="없습니다.", "-", K18+L18)</f>
        <v>677.5</v>
      </c>
    </row>
    <row r="19" spans="1:13" ht="17.25" thickTop="1">
      <c r="A19" s="188" t="s">
        <v>131</v>
      </c>
      <c r="B19" s="167"/>
      <c r="C19" s="174">
        <v>0.375</v>
      </c>
      <c r="D19" s="168"/>
      <c r="E19" s="168"/>
      <c r="F19" s="175">
        <v>0.625</v>
      </c>
      <c r="G19" s="169"/>
      <c r="H19" s="170">
        <f t="shared" si="0"/>
        <v>2500</v>
      </c>
      <c r="I19" s="171">
        <f t="shared" si="1"/>
        <v>-1822.5</v>
      </c>
      <c r="J19" s="172">
        <f t="shared" si="2"/>
        <v>677.5</v>
      </c>
      <c r="K19" s="171">
        <f t="shared" si="3"/>
        <v>2500</v>
      </c>
      <c r="L19" s="171">
        <f t="shared" si="4"/>
        <v>-1822.5</v>
      </c>
      <c r="M19" s="173">
        <f t="shared" si="5"/>
        <v>677.5</v>
      </c>
    </row>
    <row r="20" spans="1:13">
      <c r="K20" s="17" t="s">
        <v>99</v>
      </c>
    </row>
    <row r="22" spans="1:13">
      <c r="A22" s="160" t="s">
        <v>69</v>
      </c>
      <c r="B22" s="63" t="s">
        <v>66</v>
      </c>
      <c r="C22" s="63"/>
      <c r="D22" s="63"/>
      <c r="E22" s="63"/>
      <c r="F22" s="63"/>
      <c r="G22" s="63"/>
      <c r="I22" s="2"/>
      <c r="J22" s="2"/>
    </row>
    <row r="23" spans="1:13">
      <c r="B23" s="63" t="s">
        <v>67</v>
      </c>
      <c r="C23" s="63"/>
      <c r="D23" s="63"/>
      <c r="E23" s="63"/>
      <c r="F23" s="63"/>
      <c r="G23" s="63"/>
    </row>
    <row r="24" spans="1:13">
      <c r="B24" s="63" t="s">
        <v>68</v>
      </c>
      <c r="C24" s="63"/>
      <c r="D24" s="63"/>
      <c r="E24" s="63"/>
      <c r="F24" s="63"/>
      <c r="G24" s="63"/>
    </row>
    <row r="29" spans="1:13" ht="20.25">
      <c r="A29" s="4" t="s">
        <v>76</v>
      </c>
    </row>
    <row r="30" spans="1:13" ht="17.25" thickBot="1"/>
    <row r="31" spans="1:13">
      <c r="A31" s="217" t="s">
        <v>74</v>
      </c>
      <c r="B31" s="218"/>
      <c r="C31" s="218"/>
      <c r="D31" s="137">
        <f>'1. 요금제계산'!E12</f>
        <v>250</v>
      </c>
      <c r="E31" s="21" t="s">
        <v>116</v>
      </c>
      <c r="F31" s="21"/>
      <c r="G31" s="22"/>
    </row>
    <row r="32" spans="1:13">
      <c r="A32" s="219" t="s">
        <v>77</v>
      </c>
      <c r="B32" s="220"/>
      <c r="C32" s="220"/>
      <c r="D32" s="136">
        <f>E7</f>
        <v>0</v>
      </c>
      <c r="E32" s="126" t="s">
        <v>117</v>
      </c>
      <c r="F32" s="126"/>
      <c r="G32" s="138"/>
    </row>
    <row r="33" spans="1:10">
      <c r="A33" s="219" t="s">
        <v>82</v>
      </c>
      <c r="B33" s="220"/>
      <c r="C33" s="220"/>
      <c r="D33" s="136">
        <f>IF(D31&lt;=D32, 0, D31-D32)</f>
        <v>250</v>
      </c>
      <c r="E33" s="126" t="s">
        <v>18</v>
      </c>
      <c r="F33" s="126"/>
      <c r="G33" s="138"/>
    </row>
    <row r="34" spans="1:10" ht="17.25" thickBot="1">
      <c r="A34" s="221" t="s">
        <v>83</v>
      </c>
      <c r="B34" s="222"/>
      <c r="C34" s="222"/>
      <c r="D34" s="141">
        <f>D33*20</f>
        <v>5000</v>
      </c>
      <c r="E34" s="142" t="s">
        <v>92</v>
      </c>
      <c r="F34" s="139"/>
      <c r="G34" s="140"/>
    </row>
    <row r="36" spans="1:10">
      <c r="A36" t="s">
        <v>102</v>
      </c>
    </row>
    <row r="38" spans="1:10">
      <c r="A38" s="223" t="s">
        <v>84</v>
      </c>
      <c r="B38" s="223"/>
      <c r="C38" s="120" t="s">
        <v>80</v>
      </c>
      <c r="D38" s="120" t="s">
        <v>96</v>
      </c>
      <c r="E38" s="120" t="s">
        <v>97</v>
      </c>
      <c r="F38" s="120" t="s">
        <v>13</v>
      </c>
      <c r="G38" s="120" t="s">
        <v>62</v>
      </c>
      <c r="H38" s="120" t="s">
        <v>95</v>
      </c>
      <c r="I38" s="120" t="s">
        <v>81</v>
      </c>
      <c r="J38" s="120" t="s">
        <v>42</v>
      </c>
    </row>
    <row r="39" spans="1:10">
      <c r="A39" s="152" t="s">
        <v>78</v>
      </c>
      <c r="B39" s="152"/>
      <c r="C39" s="154">
        <v>250</v>
      </c>
      <c r="D39" s="154">
        <f>IF($D$33&gt;=$C39, $D$33-$C39, "-")</f>
        <v>0</v>
      </c>
      <c r="E39" s="154">
        <f>IF(D39&lt;&gt;"-", D39*20,0)</f>
        <v>0</v>
      </c>
      <c r="F39" s="154">
        <v>4500</v>
      </c>
      <c r="G39" s="176">
        <f>E39+F39</f>
        <v>4500</v>
      </c>
      <c r="H39" s="178" t="str">
        <f>IF($D$33&lt;C39, C39-$D$33, "-")</f>
        <v>-</v>
      </c>
      <c r="I39" s="155" t="str">
        <f>IF(G39&lt;D$34, "이익", IF(G39=D$34, "본전", "손해"))</f>
        <v>이익</v>
      </c>
      <c r="J39" s="177" t="str">
        <f>IF(I39="이익", IF(G$39&lt;G$40, "추천", "X"),"X")</f>
        <v>추천</v>
      </c>
    </row>
    <row r="40" spans="1:10">
      <c r="A40" s="152" t="s">
        <v>79</v>
      </c>
      <c r="B40" s="152"/>
      <c r="C40" s="154">
        <v>500</v>
      </c>
      <c r="D40" s="154" t="str">
        <f>IF($D$33&gt;=$C40, $D$33-$C40, "-")</f>
        <v>-</v>
      </c>
      <c r="E40" s="154">
        <f>IF(D40&lt;&gt;"-", D40*20,0)</f>
        <v>0</v>
      </c>
      <c r="F40" s="154">
        <v>8000</v>
      </c>
      <c r="G40" s="176">
        <f>E40+F40</f>
        <v>8000</v>
      </c>
      <c r="H40" s="178">
        <f>IF($D$33&lt;C40, C40-$D$33, "-")</f>
        <v>250</v>
      </c>
      <c r="I40" s="155" t="str">
        <f>IF(G40&lt;D$34, "이익", IF(G40=D$34, "본전", "손해"))</f>
        <v>손해</v>
      </c>
      <c r="J40" s="177" t="str">
        <f>IF(I40="이익", IF(G$39&gt;G$40, "추천", "X"),"X")</f>
        <v>X</v>
      </c>
    </row>
    <row r="44" spans="1:10">
      <c r="A44" s="143" t="s">
        <v>103</v>
      </c>
    </row>
    <row r="45" spans="1:10">
      <c r="A45" s="17" t="s">
        <v>104</v>
      </c>
    </row>
    <row r="46" spans="1:10">
      <c r="A46" s="17"/>
    </row>
    <row r="47" spans="1:10" ht="17.25" thickBot="1">
      <c r="A47" s="203" t="s">
        <v>100</v>
      </c>
      <c r="B47" s="203"/>
      <c r="C47" s="109" t="s">
        <v>85</v>
      </c>
      <c r="D47" s="109" t="s">
        <v>86</v>
      </c>
      <c r="E47" s="109" t="s">
        <v>87</v>
      </c>
      <c r="F47" s="109" t="s">
        <v>88</v>
      </c>
    </row>
    <row r="48" spans="1:10">
      <c r="A48" s="152"/>
      <c r="B48" s="144" t="s">
        <v>89</v>
      </c>
      <c r="C48" s="145">
        <v>350</v>
      </c>
      <c r="D48" s="23">
        <v>20</v>
      </c>
      <c r="E48" s="23">
        <f>C48*D48</f>
        <v>7000</v>
      </c>
      <c r="F48" s="202">
        <f>SUM(E48:E50)</f>
        <v>12500</v>
      </c>
    </row>
    <row r="49" spans="1:10">
      <c r="A49" s="152"/>
      <c r="B49" s="144" t="s">
        <v>90</v>
      </c>
      <c r="C49" s="146">
        <v>50</v>
      </c>
      <c r="D49" s="23">
        <v>30</v>
      </c>
      <c r="E49" s="23">
        <f t="shared" ref="E49:E50" si="10">C49*D49</f>
        <v>1500</v>
      </c>
      <c r="F49" s="202"/>
    </row>
    <row r="50" spans="1:10">
      <c r="A50" s="152"/>
      <c r="B50" s="144" t="s">
        <v>91</v>
      </c>
      <c r="C50" s="153">
        <v>20</v>
      </c>
      <c r="D50" s="23">
        <v>200</v>
      </c>
      <c r="E50" s="23">
        <f t="shared" si="10"/>
        <v>4000</v>
      </c>
      <c r="F50" s="202"/>
    </row>
    <row r="52" spans="1:10">
      <c r="B52" t="s">
        <v>93</v>
      </c>
    </row>
    <row r="53" spans="1:10">
      <c r="B53" s="147" t="s">
        <v>94</v>
      </c>
      <c r="C53" s="148">
        <f>SUM(C48:C50)</f>
        <v>420</v>
      </c>
    </row>
    <row r="54" spans="1:10">
      <c r="A54" s="7"/>
      <c r="B54" s="149"/>
      <c r="C54" s="62" t="s">
        <v>80</v>
      </c>
      <c r="D54" s="62" t="s">
        <v>96</v>
      </c>
      <c r="E54" s="62" t="s">
        <v>97</v>
      </c>
      <c r="F54" s="62" t="s">
        <v>13</v>
      </c>
      <c r="G54" s="62" t="s">
        <v>88</v>
      </c>
      <c r="H54" s="62" t="s">
        <v>95</v>
      </c>
      <c r="I54" s="62" t="s">
        <v>81</v>
      </c>
      <c r="J54" s="62" t="s">
        <v>42</v>
      </c>
    </row>
    <row r="55" spans="1:10">
      <c r="A55" s="64" t="s">
        <v>78</v>
      </c>
      <c r="B55" s="144"/>
      <c r="C55" s="150">
        <v>250</v>
      </c>
      <c r="D55" s="150">
        <f>IF($C$53&gt;=$C55, $C$53-$C55, "-")</f>
        <v>170</v>
      </c>
      <c r="E55" s="150">
        <f>IF(D55&lt;&gt;"-", D55*20,0)</f>
        <v>3400</v>
      </c>
      <c r="F55" s="150">
        <v>4500</v>
      </c>
      <c r="G55" s="151">
        <f>E55+F55</f>
        <v>7900</v>
      </c>
      <c r="H55" s="150" t="str">
        <f>IF($C$53&lt;$C55, $C55-$C$53, "-")</f>
        <v>-</v>
      </c>
      <c r="I55" s="155" t="str">
        <f>IF(G55&lt;F$48, "이익", IF(G55=F$48, "본전", "손해"))</f>
        <v>이익</v>
      </c>
      <c r="J55" s="156" t="str">
        <f>IF(G55&lt;F$48, IF(G55&lt;G56, "추천", "X"),"X")</f>
        <v>추천</v>
      </c>
    </row>
    <row r="56" spans="1:10">
      <c r="A56" s="64" t="s">
        <v>79</v>
      </c>
      <c r="B56" s="64"/>
      <c r="C56" s="150">
        <v>500</v>
      </c>
      <c r="D56" s="150" t="str">
        <f>IF($C$53&gt;=$C56, $C$53-$C56, "-")</f>
        <v>-</v>
      </c>
      <c r="E56" s="150">
        <f>IF(D56&lt;&gt;"-", D56*20,0)</f>
        <v>0</v>
      </c>
      <c r="F56" s="150">
        <v>8000</v>
      </c>
      <c r="G56" s="151">
        <f>E56+F56</f>
        <v>8000</v>
      </c>
      <c r="H56" s="150">
        <f>IF($C$53&lt;$C56, $C56-$C$53, "-")</f>
        <v>80</v>
      </c>
      <c r="I56" s="155" t="str">
        <f>IF(G56&lt;F$48, "이익", IF(G56=F$48, "본전", "손해"))</f>
        <v>이익</v>
      </c>
      <c r="J56" s="156" t="str">
        <f>IF(G56&lt;F$48, IF(G56&lt;G55, "추천", "X"),"X")</f>
        <v>X</v>
      </c>
    </row>
    <row r="57" spans="1:10">
      <c r="A57" s="104" t="s">
        <v>101</v>
      </c>
    </row>
  </sheetData>
  <sheetProtection password="96AF" sheet="1" objects="1" scenarios="1"/>
  <protectedRanges>
    <protectedRange sqref="C48:C50" name="범위3"/>
    <protectedRange sqref="C13:C18" name="범위2"/>
    <protectedRange sqref="B7:E7" name="범위1"/>
  </protectedRanges>
  <mergeCells count="13">
    <mergeCell ref="F48:F50"/>
    <mergeCell ref="A47:B47"/>
    <mergeCell ref="H11:J11"/>
    <mergeCell ref="K11:M11"/>
    <mergeCell ref="D13:E17"/>
    <mergeCell ref="A13:A17"/>
    <mergeCell ref="B13:B17"/>
    <mergeCell ref="G13:G17"/>
    <mergeCell ref="A31:C31"/>
    <mergeCell ref="A32:C32"/>
    <mergeCell ref="A33:C33"/>
    <mergeCell ref="A34:C34"/>
    <mergeCell ref="A38:B38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E4" sqref="E4"/>
    </sheetView>
  </sheetViews>
  <sheetFormatPr defaultRowHeight="16.5"/>
  <cols>
    <col min="2" max="2" width="10" customWidth="1"/>
    <col min="3" max="3" width="12" customWidth="1"/>
    <col min="4" max="4" width="12.125" customWidth="1"/>
    <col min="5" max="7" width="9" customWidth="1"/>
    <col min="8" max="8" width="12.375" customWidth="1"/>
    <col min="9" max="16" width="9" customWidth="1"/>
    <col min="17" max="17" width="9.375" bestFit="1" customWidth="1"/>
  </cols>
  <sheetData>
    <row r="1" spans="1:17" ht="26.25">
      <c r="A1" s="11" t="s">
        <v>105</v>
      </c>
    </row>
    <row r="3" spans="1:17" ht="17.25" thickBot="1">
      <c r="B3" s="32"/>
      <c r="C3" s="33" t="s">
        <v>24</v>
      </c>
      <c r="D3" s="34"/>
      <c r="E3" s="42"/>
      <c r="F3" s="34"/>
      <c r="G3" s="35"/>
    </row>
    <row r="4" spans="1:17">
      <c r="B4" s="36"/>
      <c r="C4" s="31"/>
      <c r="D4" s="30" t="s">
        <v>25</v>
      </c>
      <c r="E4" s="39">
        <v>0</v>
      </c>
      <c r="F4" s="19" t="s">
        <v>16</v>
      </c>
      <c r="G4" s="37"/>
      <c r="H4" s="13" t="str">
        <f>IF(E4=0, "  → 결합할인이 적용되지", "  → 결합할인이 적용되어,")</f>
        <v xml:space="preserve">  → 결합할인이 적용되지</v>
      </c>
    </row>
    <row r="5" spans="1:17">
      <c r="B5" s="36"/>
      <c r="C5" s="31"/>
      <c r="D5" s="30" t="s">
        <v>26</v>
      </c>
      <c r="E5" s="40">
        <v>180</v>
      </c>
      <c r="F5" s="19" t="s">
        <v>15</v>
      </c>
      <c r="G5" s="37"/>
      <c r="H5" s="43" t="str">
        <f>IF(E4&lt;&gt;0,E4*10%,"않습니다.")</f>
        <v>않습니다.</v>
      </c>
      <c r="I5" s="15" t="str">
        <f>IF(E4&lt;&gt;0,"의 기본료 할인 혜택이 주어집니다.","")</f>
        <v/>
      </c>
    </row>
    <row r="6" spans="1:17">
      <c r="B6" s="224" t="s">
        <v>17</v>
      </c>
      <c r="C6" s="225"/>
      <c r="D6" s="225"/>
      <c r="E6" s="40">
        <v>350</v>
      </c>
      <c r="F6" s="19" t="s">
        <v>18</v>
      </c>
      <c r="G6" s="37"/>
      <c r="I6" s="17" t="s">
        <v>136</v>
      </c>
    </row>
    <row r="7" spans="1:17" ht="17.25" thickBot="1">
      <c r="B7" s="200" t="s">
        <v>113</v>
      </c>
      <c r="C7" s="201"/>
      <c r="D7" s="201"/>
      <c r="E7" s="41">
        <v>750</v>
      </c>
      <c r="F7" s="20" t="s">
        <v>114</v>
      </c>
      <c r="G7" s="38"/>
      <c r="I7" s="17" t="s">
        <v>137</v>
      </c>
    </row>
    <row r="8" spans="1:17">
      <c r="I8" s="17" t="s">
        <v>138</v>
      </c>
    </row>
    <row r="10" spans="1:17" ht="17.25" thickBot="1">
      <c r="A10" s="223" t="s">
        <v>42</v>
      </c>
      <c r="B10" s="223" t="s">
        <v>8</v>
      </c>
      <c r="C10" s="223" t="s">
        <v>13</v>
      </c>
      <c r="D10" s="227" t="s">
        <v>14</v>
      </c>
      <c r="E10" s="236" t="s">
        <v>20</v>
      </c>
      <c r="F10" s="236" t="s">
        <v>28</v>
      </c>
      <c r="G10" s="236" t="s">
        <v>112</v>
      </c>
      <c r="H10" s="238" t="s">
        <v>43</v>
      </c>
      <c r="I10" s="229" t="s">
        <v>0</v>
      </c>
      <c r="J10" s="229" t="s">
        <v>19</v>
      </c>
      <c r="K10" s="234" t="s">
        <v>130</v>
      </c>
      <c r="L10" s="231" t="s">
        <v>135</v>
      </c>
      <c r="M10" s="232"/>
      <c r="N10" s="232"/>
      <c r="O10" s="233"/>
    </row>
    <row r="11" spans="1:17" ht="33.75" thickBot="1">
      <c r="A11" s="226"/>
      <c r="B11" s="226"/>
      <c r="C11" s="226"/>
      <c r="D11" s="228"/>
      <c r="E11" s="237"/>
      <c r="F11" s="237"/>
      <c r="G11" s="237"/>
      <c r="H11" s="239"/>
      <c r="I11" s="230"/>
      <c r="J11" s="230"/>
      <c r="K11" s="235"/>
      <c r="L11" s="186" t="s">
        <v>128</v>
      </c>
      <c r="M11" s="187" t="s">
        <v>126</v>
      </c>
      <c r="N11" s="187" t="s">
        <v>127</v>
      </c>
      <c r="O11" s="187" t="s">
        <v>129</v>
      </c>
      <c r="P11" s="185"/>
      <c r="Q11" s="183"/>
    </row>
    <row r="12" spans="1:17">
      <c r="A12" s="117" t="str">
        <f>IF(MIN($L$12:$O$17)=MIN($L12:$O12), "추천! →", "")</f>
        <v/>
      </c>
      <c r="B12" s="29" t="s">
        <v>106</v>
      </c>
      <c r="C12" s="24">
        <v>35000</v>
      </c>
      <c r="D12" s="26">
        <v>18</v>
      </c>
      <c r="E12" s="27">
        <v>150</v>
      </c>
      <c r="F12" s="27">
        <v>200</v>
      </c>
      <c r="G12" s="97">
        <v>100</v>
      </c>
      <c r="H12" s="193">
        <f t="shared" ref="H12:H17" si="0">C12*(1-$E$4*10%)</f>
        <v>35000</v>
      </c>
      <c r="I12" s="194">
        <f t="shared" ref="I12:I17" si="1">IF(E$5&lt;=E12, 0, (E$5-E12)*(D12*6))</f>
        <v>3240</v>
      </c>
      <c r="J12" s="194">
        <f t="shared" ref="J12:J17" si="2">IF(E$6&lt;=F12, 0, (E$6-F12)*20)</f>
        <v>3000</v>
      </c>
      <c r="K12" s="194">
        <f>IF($E$7&gt;G12, $E$7-G12, 0)</f>
        <v>650</v>
      </c>
      <c r="L12" s="181">
        <f>K12*51+SUM($H12:$J12)</f>
        <v>74390</v>
      </c>
      <c r="M12" s="75">
        <f>IF($K12-100&gt;0,($K12-100),0)*51+SUM($H12:$J12)+$C$23</f>
        <v>74290</v>
      </c>
      <c r="N12" s="75">
        <f>IF($K12-500&gt;0,($K12-500),0)*51+SUM($H12:$J12)+$C$24</f>
        <v>58890</v>
      </c>
      <c r="O12" s="76">
        <f>IF($K12-1000&gt;0,($K12-1000),0)*51+SUM($H12:$J12)+$C$25</f>
        <v>56240</v>
      </c>
      <c r="P12" s="185"/>
      <c r="Q12" s="184"/>
    </row>
    <row r="13" spans="1:17" ht="16.5" customHeight="1">
      <c r="A13" s="118" t="str">
        <f t="shared" ref="A13:A17" si="3">IF(MIN($L$12:$O$17)=MIN($L13:$O13), "추천! →", "")</f>
        <v>추천! →</v>
      </c>
      <c r="B13" s="29" t="s">
        <v>107</v>
      </c>
      <c r="C13" s="24">
        <v>45000</v>
      </c>
      <c r="D13" s="26">
        <v>18</v>
      </c>
      <c r="E13" s="27">
        <v>200</v>
      </c>
      <c r="F13" s="27">
        <v>300</v>
      </c>
      <c r="G13" s="97">
        <v>500</v>
      </c>
      <c r="H13" s="193">
        <f t="shared" si="0"/>
        <v>45000</v>
      </c>
      <c r="I13" s="194">
        <f t="shared" si="1"/>
        <v>0</v>
      </c>
      <c r="J13" s="194">
        <f t="shared" si="2"/>
        <v>1000</v>
      </c>
      <c r="K13" s="194">
        <f t="shared" ref="K13:K17" si="4">IF($E$7&gt;G13, $E$7-G13, 0)</f>
        <v>250</v>
      </c>
      <c r="L13" s="182">
        <f t="shared" ref="L13:L17" si="5">K13*51+SUM($H13:$J13)</f>
        <v>58750</v>
      </c>
      <c r="M13" s="28">
        <f t="shared" ref="M13:M17" si="6">IF($K13-100&gt;0,($K13-100),0)*51+SUM($H13:$J13)+$C$23</f>
        <v>58650</v>
      </c>
      <c r="N13" s="28">
        <f t="shared" ref="N13:N17" si="7">IF($K13-500&gt;0,($K13-500),0)*51+SUM($H13:$J13)+$C$24</f>
        <v>56000</v>
      </c>
      <c r="O13" s="45">
        <f t="shared" ref="O13:O17" si="8">IF($K13-1000&gt;0,($K13-1000),0)*51+SUM($H13:$J13)+$C$25</f>
        <v>61000</v>
      </c>
      <c r="P13" s="185"/>
      <c r="Q13" s="184"/>
    </row>
    <row r="14" spans="1:17">
      <c r="A14" s="118" t="str">
        <f t="shared" si="3"/>
        <v/>
      </c>
      <c r="B14" s="29" t="s">
        <v>108</v>
      </c>
      <c r="C14" s="24">
        <v>65000</v>
      </c>
      <c r="D14" s="26">
        <v>18</v>
      </c>
      <c r="E14" s="27">
        <v>400</v>
      </c>
      <c r="F14" s="27">
        <v>300</v>
      </c>
      <c r="G14" s="97">
        <v>1000</v>
      </c>
      <c r="H14" s="193">
        <f t="shared" si="0"/>
        <v>65000</v>
      </c>
      <c r="I14" s="194">
        <f t="shared" si="1"/>
        <v>0</v>
      </c>
      <c r="J14" s="194">
        <f t="shared" si="2"/>
        <v>1000</v>
      </c>
      <c r="K14" s="194">
        <f t="shared" si="4"/>
        <v>0</v>
      </c>
      <c r="L14" s="182">
        <f t="shared" si="5"/>
        <v>66000</v>
      </c>
      <c r="M14" s="28">
        <f t="shared" si="6"/>
        <v>71000</v>
      </c>
      <c r="N14" s="28">
        <f t="shared" si="7"/>
        <v>76000</v>
      </c>
      <c r="O14" s="45">
        <f t="shared" si="8"/>
        <v>81000</v>
      </c>
      <c r="P14" s="185"/>
      <c r="Q14" s="184"/>
    </row>
    <row r="15" spans="1:17">
      <c r="A15" s="118" t="str">
        <f t="shared" si="3"/>
        <v/>
      </c>
      <c r="B15" s="29" t="s">
        <v>109</v>
      </c>
      <c r="C15" s="24">
        <v>79000</v>
      </c>
      <c r="D15" s="26">
        <v>18</v>
      </c>
      <c r="E15" s="27">
        <v>600</v>
      </c>
      <c r="F15" s="27">
        <v>300</v>
      </c>
      <c r="G15" s="97">
        <v>1500</v>
      </c>
      <c r="H15" s="193">
        <f t="shared" si="0"/>
        <v>79000</v>
      </c>
      <c r="I15" s="194">
        <f t="shared" si="1"/>
        <v>0</v>
      </c>
      <c r="J15" s="194">
        <f t="shared" si="2"/>
        <v>1000</v>
      </c>
      <c r="K15" s="194">
        <f t="shared" si="4"/>
        <v>0</v>
      </c>
      <c r="L15" s="182">
        <f t="shared" si="5"/>
        <v>80000</v>
      </c>
      <c r="M15" s="28">
        <f t="shared" si="6"/>
        <v>85000</v>
      </c>
      <c r="N15" s="28">
        <f t="shared" si="7"/>
        <v>90000</v>
      </c>
      <c r="O15" s="45">
        <f t="shared" si="8"/>
        <v>95000</v>
      </c>
      <c r="P15" s="185"/>
      <c r="Q15" s="184"/>
    </row>
    <row r="16" spans="1:17">
      <c r="A16" s="118" t="str">
        <f t="shared" si="3"/>
        <v/>
      </c>
      <c r="B16" s="29" t="s">
        <v>110</v>
      </c>
      <c r="C16" s="24">
        <v>95000</v>
      </c>
      <c r="D16" s="26">
        <v>15</v>
      </c>
      <c r="E16" s="27">
        <v>800</v>
      </c>
      <c r="F16" s="27">
        <v>300</v>
      </c>
      <c r="G16" s="97">
        <v>3000</v>
      </c>
      <c r="H16" s="193">
        <f t="shared" si="0"/>
        <v>95000</v>
      </c>
      <c r="I16" s="194">
        <f t="shared" si="1"/>
        <v>0</v>
      </c>
      <c r="J16" s="194">
        <f t="shared" si="2"/>
        <v>1000</v>
      </c>
      <c r="K16" s="194">
        <f t="shared" si="4"/>
        <v>0</v>
      </c>
      <c r="L16" s="182">
        <f t="shared" si="5"/>
        <v>96000</v>
      </c>
      <c r="M16" s="28">
        <f t="shared" si="6"/>
        <v>101000</v>
      </c>
      <c r="N16" s="28">
        <f t="shared" si="7"/>
        <v>106000</v>
      </c>
      <c r="O16" s="45">
        <f t="shared" si="8"/>
        <v>111000</v>
      </c>
      <c r="P16" s="185"/>
      <c r="Q16" s="184"/>
    </row>
    <row r="17" spans="1:17">
      <c r="A17" s="118" t="str">
        <f t="shared" si="3"/>
        <v/>
      </c>
      <c r="B17" s="29" t="s">
        <v>111</v>
      </c>
      <c r="C17" s="24">
        <v>45000</v>
      </c>
      <c r="D17" s="26">
        <v>18</v>
      </c>
      <c r="E17" s="27">
        <v>250</v>
      </c>
      <c r="F17" s="27">
        <v>300</v>
      </c>
      <c r="G17" s="97">
        <v>100</v>
      </c>
      <c r="H17" s="193">
        <f t="shared" si="0"/>
        <v>45000</v>
      </c>
      <c r="I17" s="194">
        <f t="shared" si="1"/>
        <v>0</v>
      </c>
      <c r="J17" s="194">
        <f t="shared" si="2"/>
        <v>1000</v>
      </c>
      <c r="K17" s="194">
        <f t="shared" si="4"/>
        <v>650</v>
      </c>
      <c r="L17" s="182">
        <f t="shared" si="5"/>
        <v>79150</v>
      </c>
      <c r="M17" s="28">
        <f t="shared" si="6"/>
        <v>79050</v>
      </c>
      <c r="N17" s="28">
        <f t="shared" si="7"/>
        <v>63650</v>
      </c>
      <c r="O17" s="45">
        <f t="shared" si="8"/>
        <v>61000</v>
      </c>
      <c r="P17" s="185"/>
      <c r="Q17" s="184"/>
    </row>
    <row r="18" spans="1:17">
      <c r="L18" s="192" t="str">
        <f>IF(MIN($L$12:$O$17)=MIN(L$12:L$17), "↑추천!↑", "")</f>
        <v/>
      </c>
      <c r="M18" s="192" t="str">
        <f t="shared" ref="M18:O18" si="9">IF(MIN($L$12:$O$17)=MIN(M$12:M$17), "↑추천!↑", "")</f>
        <v/>
      </c>
      <c r="N18" s="192" t="str">
        <f t="shared" si="9"/>
        <v>↑추천!↑</v>
      </c>
      <c r="O18" s="192" t="str">
        <f t="shared" si="9"/>
        <v/>
      </c>
      <c r="Q18" s="10"/>
    </row>
    <row r="19" spans="1:17">
      <c r="B19" s="134" t="s">
        <v>115</v>
      </c>
    </row>
    <row r="21" spans="1:17">
      <c r="A21" s="13" t="s">
        <v>125</v>
      </c>
      <c r="H21" s="16"/>
      <c r="J21" s="16"/>
    </row>
    <row r="22" spans="1:17" ht="50.25" customHeight="1">
      <c r="A22" s="7" t="s">
        <v>124</v>
      </c>
      <c r="B22" s="7"/>
      <c r="C22" s="180" t="s">
        <v>121</v>
      </c>
      <c r="D22" s="180" t="s">
        <v>123</v>
      </c>
      <c r="E22" s="180" t="s">
        <v>122</v>
      </c>
    </row>
    <row r="23" spans="1:17">
      <c r="A23" s="64" t="s">
        <v>118</v>
      </c>
      <c r="B23" s="64"/>
      <c r="C23" s="150">
        <v>5000</v>
      </c>
      <c r="D23" s="150">
        <v>100</v>
      </c>
      <c r="E23" s="150">
        <v>51</v>
      </c>
    </row>
    <row r="24" spans="1:17">
      <c r="A24" s="64" t="s">
        <v>119</v>
      </c>
      <c r="B24" s="64"/>
      <c r="C24" s="150">
        <v>10000</v>
      </c>
      <c r="D24" s="150">
        <v>500</v>
      </c>
      <c r="E24" s="150">
        <v>51</v>
      </c>
    </row>
    <row r="25" spans="1:17">
      <c r="A25" s="64" t="s">
        <v>120</v>
      </c>
      <c r="B25" s="64"/>
      <c r="C25" s="150">
        <v>15000</v>
      </c>
      <c r="D25" s="150">
        <v>1000</v>
      </c>
      <c r="E25" s="150">
        <v>51</v>
      </c>
    </row>
    <row r="32" spans="1:17">
      <c r="C32" s="10"/>
    </row>
  </sheetData>
  <sheetProtection password="96AF" sheet="1" objects="1" scenarios="1"/>
  <protectedRanges>
    <protectedRange sqref="E4:E7" name="범위1"/>
  </protectedRanges>
  <mergeCells count="14">
    <mergeCell ref="J10:J11"/>
    <mergeCell ref="L10:O10"/>
    <mergeCell ref="K10:K11"/>
    <mergeCell ref="E10:E11"/>
    <mergeCell ref="F10:F11"/>
    <mergeCell ref="G10:G11"/>
    <mergeCell ref="H10:H11"/>
    <mergeCell ref="I10:I11"/>
    <mergeCell ref="B6:D6"/>
    <mergeCell ref="B7:D7"/>
    <mergeCell ref="A10:A11"/>
    <mergeCell ref="B10:B11"/>
    <mergeCell ref="C10:C11"/>
    <mergeCell ref="D10:D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 요금제계산</vt:lpstr>
      <vt:lpstr>2. 부가서비스판정</vt:lpstr>
      <vt:lpstr>3. 스마트폰요금제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김지현</dc:creator>
  <cp:lastModifiedBy>김지현</cp:lastModifiedBy>
  <dcterms:created xsi:type="dcterms:W3CDTF">2010-07-06T07:02:00Z</dcterms:created>
  <dcterms:modified xsi:type="dcterms:W3CDTF">2010-07-24T14:03:10Z</dcterms:modified>
</cp:coreProperties>
</file>